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mza\Documents\MEM\THESIS\3. Analysis\PIBIPLAST SPA\"/>
    </mc:Choice>
  </mc:AlternateContent>
  <xr:revisionPtr revIDLastSave="0" documentId="13_ncr:1_{58A7D6C5-581D-4F56-A792-1F9534A70086}" xr6:coauthVersionLast="47" xr6:coauthVersionMax="47" xr10:uidLastSave="{00000000-0000-0000-0000-000000000000}"/>
  <bookViews>
    <workbookView xWindow="-110" yWindow="-110" windowWidth="19420" windowHeight="10300" firstSheet="3" activeTab="4" xr2:uid="{00000000-000D-0000-FFFF-FFFF00000000}"/>
  </bookViews>
  <sheets>
    <sheet name="Sheet1" sheetId="6" r:id="rId1"/>
    <sheet name="Ownership" sheetId="7" r:id="rId2"/>
    <sheet name="Debt Plan 2022" sheetId="8" r:id="rId3"/>
    <sheet name="NetDebt" sheetId="9" r:id="rId4"/>
    <sheet name="Reclassified BS" sheetId="2" r:id="rId5"/>
    <sheet name="Profit&amp;Loss" sheetId="3" r:id="rId6"/>
    <sheet name="CashFlow" sheetId="4" r:id="rId7"/>
    <sheet name="Ratios" sheetId="5" r:id="rId8"/>
    <sheet name="AIDA" sheetId="1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9" l="1"/>
  <c r="G3" i="9"/>
  <c r="G4" i="9" s="1"/>
  <c r="H3" i="9"/>
  <c r="I3" i="9"/>
  <c r="E3" i="9"/>
  <c r="F2" i="9"/>
  <c r="G2" i="9"/>
  <c r="H2" i="9"/>
  <c r="H4" i="9" s="1"/>
  <c r="I2" i="9"/>
  <c r="E2" i="9"/>
  <c r="F4" i="9"/>
  <c r="A3" i="9"/>
  <c r="I4" i="9"/>
  <c r="A2" i="9"/>
  <c r="E4" i="9" l="1"/>
  <c r="E18" i="8" l="1"/>
  <c r="F18" i="8"/>
  <c r="G18" i="8"/>
  <c r="H18" i="8"/>
  <c r="I18" i="8"/>
  <c r="J18" i="8"/>
  <c r="K18" i="8"/>
  <c r="D18" i="8"/>
  <c r="E17" i="8"/>
  <c r="F17" i="8"/>
  <c r="G17" i="8"/>
  <c r="H17" i="8"/>
  <c r="I17" i="8"/>
  <c r="J17" i="8"/>
  <c r="K17" i="8"/>
  <c r="D17" i="8"/>
  <c r="E24" i="5"/>
  <c r="F24" i="5"/>
  <c r="G24" i="5"/>
  <c r="H24" i="5"/>
  <c r="I24" i="5"/>
  <c r="E21" i="5"/>
  <c r="F21" i="5"/>
  <c r="G21" i="5"/>
  <c r="H21" i="5"/>
  <c r="I21" i="5"/>
  <c r="E20" i="5"/>
  <c r="F20" i="5"/>
  <c r="G20" i="5"/>
  <c r="H20" i="5"/>
  <c r="I20" i="5"/>
  <c r="E8" i="5"/>
  <c r="F8" i="5"/>
  <c r="G8" i="5"/>
  <c r="H8" i="5"/>
  <c r="I8" i="5"/>
  <c r="E7" i="5"/>
  <c r="F7" i="5"/>
  <c r="G7" i="5"/>
  <c r="H7" i="5"/>
  <c r="I7" i="5"/>
  <c r="E6" i="5"/>
  <c r="F6" i="5"/>
  <c r="G6" i="5"/>
  <c r="H6" i="5"/>
  <c r="I6" i="5"/>
  <c r="E5" i="5"/>
  <c r="F5" i="5"/>
  <c r="G5" i="5"/>
  <c r="H5" i="5"/>
  <c r="I5" i="5"/>
  <c r="E4" i="5"/>
  <c r="F4" i="5"/>
  <c r="G4" i="5"/>
  <c r="H4" i="5"/>
  <c r="I4" i="5"/>
  <c r="E16" i="5"/>
  <c r="F16" i="5"/>
  <c r="G16" i="5"/>
  <c r="H16" i="5"/>
  <c r="I16" i="5"/>
  <c r="E15" i="5"/>
  <c r="F15" i="5"/>
  <c r="G15" i="5"/>
  <c r="H15" i="5"/>
  <c r="I15" i="5"/>
  <c r="E14" i="5"/>
  <c r="F14" i="5"/>
  <c r="G14" i="5"/>
  <c r="H14" i="5"/>
  <c r="I14" i="5"/>
  <c r="E13" i="5"/>
  <c r="F13" i="5"/>
  <c r="G13" i="5"/>
  <c r="H13" i="5"/>
  <c r="I13" i="5"/>
  <c r="E12" i="5"/>
  <c r="F12" i="5"/>
  <c r="G12" i="5"/>
  <c r="H12" i="5"/>
  <c r="I12" i="5"/>
  <c r="H17" i="5" l="1"/>
  <c r="G17" i="5"/>
  <c r="I17" i="5"/>
  <c r="F17" i="5"/>
  <c r="E17" i="5"/>
  <c r="H27" i="3"/>
  <c r="H4" i="4" s="1"/>
  <c r="G27" i="3"/>
  <c r="G4" i="4" s="1"/>
  <c r="F27" i="3"/>
  <c r="F4" i="4" s="1"/>
  <c r="E27" i="3"/>
  <c r="I27" i="3"/>
  <c r="I4" i="4" s="1"/>
  <c r="H24" i="3"/>
  <c r="H15" i="4" s="1"/>
  <c r="G24" i="3"/>
  <c r="G15" i="4" s="1"/>
  <c r="F24" i="3"/>
  <c r="F15" i="4" s="1"/>
  <c r="E24" i="3"/>
  <c r="I24" i="3"/>
  <c r="I15" i="4" s="1"/>
  <c r="H23" i="3"/>
  <c r="G23" i="3"/>
  <c r="F23" i="3"/>
  <c r="E23" i="3"/>
  <c r="I23" i="3"/>
  <c r="H22" i="3"/>
  <c r="G22" i="3"/>
  <c r="F22" i="3"/>
  <c r="E22" i="3"/>
  <c r="I22" i="3"/>
  <c r="H21" i="3"/>
  <c r="G21" i="3"/>
  <c r="F21" i="3"/>
  <c r="E21" i="3"/>
  <c r="I21" i="3"/>
  <c r="H20" i="3"/>
  <c r="G20" i="3"/>
  <c r="F20" i="3"/>
  <c r="E20" i="3"/>
  <c r="I20" i="3"/>
  <c r="H19" i="3"/>
  <c r="H11" i="4" s="1"/>
  <c r="G19" i="3"/>
  <c r="G11" i="4" s="1"/>
  <c r="F19" i="3"/>
  <c r="F11" i="4" s="1"/>
  <c r="E19" i="3"/>
  <c r="I19" i="3"/>
  <c r="I11" i="4" s="1"/>
  <c r="H16" i="3"/>
  <c r="G16" i="3"/>
  <c r="F16" i="3"/>
  <c r="E16" i="3"/>
  <c r="I16" i="3"/>
  <c r="H13" i="3"/>
  <c r="G13" i="3"/>
  <c r="F13" i="3"/>
  <c r="E13" i="3"/>
  <c r="I13" i="3"/>
  <c r="H10" i="3"/>
  <c r="G10" i="3"/>
  <c r="F10" i="3"/>
  <c r="E10" i="3"/>
  <c r="I10" i="3"/>
  <c r="H9" i="3"/>
  <c r="G9" i="3"/>
  <c r="F9" i="3"/>
  <c r="E9" i="3"/>
  <c r="I9" i="3"/>
  <c r="H8" i="3"/>
  <c r="G8" i="3"/>
  <c r="F8" i="3"/>
  <c r="E8" i="3"/>
  <c r="I8" i="3"/>
  <c r="H5" i="3"/>
  <c r="G5" i="3"/>
  <c r="F5" i="3"/>
  <c r="E5" i="3"/>
  <c r="I5" i="3"/>
  <c r="H3" i="3"/>
  <c r="G3" i="3"/>
  <c r="F3" i="3"/>
  <c r="E3" i="3"/>
  <c r="I3" i="3"/>
  <c r="H28" i="2"/>
  <c r="G28" i="2"/>
  <c r="F28" i="2"/>
  <c r="E28" i="2"/>
  <c r="I28" i="2"/>
  <c r="H25" i="2"/>
  <c r="G25" i="2"/>
  <c r="F25" i="2"/>
  <c r="E25" i="2"/>
  <c r="H24" i="2"/>
  <c r="G24" i="2"/>
  <c r="F24" i="2"/>
  <c r="E24" i="2"/>
  <c r="I25" i="2"/>
  <c r="I24" i="2"/>
  <c r="H12" i="2"/>
  <c r="G12" i="2"/>
  <c r="F12" i="2"/>
  <c r="E12" i="2"/>
  <c r="I12" i="2"/>
  <c r="H23" i="2"/>
  <c r="G23" i="2"/>
  <c r="F23" i="2"/>
  <c r="E23" i="2"/>
  <c r="I23" i="2"/>
  <c r="H22" i="2"/>
  <c r="G22" i="2"/>
  <c r="F22" i="2"/>
  <c r="E22" i="2"/>
  <c r="I22" i="2"/>
  <c r="H21" i="2"/>
  <c r="G21" i="2"/>
  <c r="F21" i="2"/>
  <c r="E21" i="2"/>
  <c r="I21" i="2"/>
  <c r="H18" i="2"/>
  <c r="G18" i="2"/>
  <c r="F18" i="2"/>
  <c r="E18" i="2"/>
  <c r="I18" i="2"/>
  <c r="H17" i="2"/>
  <c r="G17" i="2"/>
  <c r="F17" i="2"/>
  <c r="E17" i="2"/>
  <c r="I17" i="2"/>
  <c r="H16" i="2"/>
  <c r="G16" i="2"/>
  <c r="F16" i="2"/>
  <c r="E16" i="2"/>
  <c r="I16" i="2"/>
  <c r="H13" i="2"/>
  <c r="G13" i="2"/>
  <c r="F13" i="2"/>
  <c r="E13" i="2"/>
  <c r="I13" i="2"/>
  <c r="H10" i="2"/>
  <c r="G10" i="2"/>
  <c r="F10" i="2"/>
  <c r="E10" i="2"/>
  <c r="I10" i="2"/>
  <c r="H9" i="2"/>
  <c r="G9" i="2"/>
  <c r="F9" i="2"/>
  <c r="E9" i="2"/>
  <c r="I9" i="2"/>
  <c r="H8" i="2"/>
  <c r="G8" i="2"/>
  <c r="F8" i="2"/>
  <c r="E8" i="2"/>
  <c r="I8" i="2"/>
  <c r="H7" i="2"/>
  <c r="G7" i="2"/>
  <c r="F7" i="2"/>
  <c r="E7" i="2"/>
  <c r="I7" i="2"/>
  <c r="H5" i="2"/>
  <c r="G5" i="2"/>
  <c r="F5" i="2"/>
  <c r="E5" i="2"/>
  <c r="I5" i="2"/>
  <c r="H4" i="2"/>
  <c r="G4" i="2"/>
  <c r="F4" i="2"/>
  <c r="E4" i="2"/>
  <c r="I4" i="2"/>
  <c r="I3" i="2"/>
  <c r="H3" i="2"/>
  <c r="G3" i="2"/>
  <c r="F3" i="2"/>
  <c r="E3" i="2"/>
  <c r="H5" i="4" l="1"/>
  <c r="G5" i="4"/>
  <c r="F6" i="4"/>
  <c r="E6" i="3"/>
  <c r="E7" i="3" s="1"/>
  <c r="H7" i="4"/>
  <c r="G7" i="4"/>
  <c r="F5" i="4"/>
  <c r="F8" i="4"/>
  <c r="H6" i="4"/>
  <c r="G17" i="4"/>
  <c r="I6" i="4"/>
  <c r="I5" i="4"/>
  <c r="G8" i="4"/>
  <c r="I18" i="4"/>
  <c r="H17" i="4"/>
  <c r="I8" i="4"/>
  <c r="G6" i="4"/>
  <c r="I7" i="4"/>
  <c r="F17" i="4"/>
  <c r="F18" i="4"/>
  <c r="G18" i="4"/>
  <c r="F7" i="4"/>
  <c r="I17" i="4"/>
  <c r="H18" i="4"/>
  <c r="G13" i="4"/>
  <c r="H8" i="4"/>
  <c r="F13" i="4"/>
  <c r="H13" i="4"/>
  <c r="I13" i="4"/>
  <c r="I19" i="4"/>
  <c r="G19" i="4"/>
  <c r="H19" i="4"/>
  <c r="F19" i="4"/>
  <c r="I4" i="3"/>
  <c r="G14" i="2"/>
  <c r="G4" i="3"/>
  <c r="F4" i="3"/>
  <c r="E4" i="3"/>
  <c r="H4" i="3"/>
  <c r="G6" i="3"/>
  <c r="H6" i="3"/>
  <c r="I6" i="3"/>
  <c r="F6" i="3"/>
  <c r="F14" i="2"/>
  <c r="I19" i="2"/>
  <c r="H14" i="2"/>
  <c r="I11" i="2"/>
  <c r="E6" i="2"/>
  <c r="E11" i="2"/>
  <c r="H6" i="2"/>
  <c r="F19" i="2"/>
  <c r="H11" i="2"/>
  <c r="E19" i="2"/>
  <c r="I6" i="2"/>
  <c r="E26" i="2"/>
  <c r="H26" i="2"/>
  <c r="F26" i="2"/>
  <c r="G19" i="2"/>
  <c r="F6" i="2"/>
  <c r="E14" i="2"/>
  <c r="G6" i="2"/>
  <c r="F11" i="2"/>
  <c r="H19" i="2"/>
  <c r="G11" i="2"/>
  <c r="I14" i="2"/>
  <c r="G26" i="2"/>
  <c r="I26" i="2"/>
  <c r="E11" i="3" l="1"/>
  <c r="E14" i="3" s="1"/>
  <c r="F9" i="4"/>
  <c r="H29" i="2"/>
  <c r="I9" i="4"/>
  <c r="I29" i="2"/>
  <c r="E29" i="2"/>
  <c r="G29" i="2"/>
  <c r="H14" i="4"/>
  <c r="F29" i="2"/>
  <c r="G10" i="4"/>
  <c r="H9" i="4"/>
  <c r="G9" i="4"/>
  <c r="F14" i="4"/>
  <c r="I10" i="4"/>
  <c r="F10" i="4"/>
  <c r="H10" i="4"/>
  <c r="G14" i="4"/>
  <c r="I14" i="4"/>
  <c r="G15" i="2"/>
  <c r="G20" i="2" s="1"/>
  <c r="I11" i="3"/>
  <c r="I22" i="5" s="1"/>
  <c r="I7" i="3"/>
  <c r="H11" i="3"/>
  <c r="H27" i="2" s="1"/>
  <c r="H7" i="3"/>
  <c r="F11" i="3"/>
  <c r="F27" i="2" s="1"/>
  <c r="F7" i="3"/>
  <c r="G11" i="3"/>
  <c r="G27" i="2" s="1"/>
  <c r="G7" i="3"/>
  <c r="I15" i="2"/>
  <c r="I20" i="2" s="1"/>
  <c r="F15" i="2"/>
  <c r="F20" i="2" s="1"/>
  <c r="H15" i="2"/>
  <c r="H20" i="2" s="1"/>
  <c r="E15" i="2"/>
  <c r="E20" i="2" s="1"/>
  <c r="I27" i="2" l="1"/>
  <c r="I23" i="5"/>
  <c r="E22" i="5"/>
  <c r="H22" i="5"/>
  <c r="F22" i="5"/>
  <c r="H31" i="2"/>
  <c r="G22" i="5"/>
  <c r="G31" i="2"/>
  <c r="E27" i="2"/>
  <c r="E12" i="3"/>
  <c r="I31" i="2"/>
  <c r="F31" i="2"/>
  <c r="E31" i="2"/>
  <c r="F14" i="3"/>
  <c r="F3" i="4" s="1"/>
  <c r="F12" i="4" s="1"/>
  <c r="F16" i="4" s="1"/>
  <c r="F12" i="3"/>
  <c r="H14" i="3"/>
  <c r="H3" i="4" s="1"/>
  <c r="H12" i="4" s="1"/>
  <c r="H16" i="4" s="1"/>
  <c r="H12" i="3"/>
  <c r="G14" i="3"/>
  <c r="G3" i="4" s="1"/>
  <c r="G12" i="4" s="1"/>
  <c r="G16" i="4" s="1"/>
  <c r="G12" i="3"/>
  <c r="I14" i="3"/>
  <c r="I3" i="4" s="1"/>
  <c r="I12" i="4" s="1"/>
  <c r="I16" i="4" s="1"/>
  <c r="I12" i="3"/>
  <c r="E17" i="3"/>
  <c r="E15" i="3"/>
  <c r="I20" i="4" l="1"/>
  <c r="H23" i="5"/>
  <c r="G20" i="4"/>
  <c r="F23" i="5"/>
  <c r="H20" i="4"/>
  <c r="G23" i="5"/>
  <c r="F20" i="4"/>
  <c r="E23" i="5"/>
  <c r="I17" i="3"/>
  <c r="I15" i="3"/>
  <c r="G17" i="3"/>
  <c r="G15" i="3"/>
  <c r="H17" i="3"/>
  <c r="H15" i="3"/>
  <c r="E25" i="3"/>
  <c r="E18" i="3"/>
  <c r="F17" i="3"/>
  <c r="F15" i="3"/>
  <c r="E28" i="3" l="1"/>
  <c r="E26" i="3"/>
  <c r="H25" i="3"/>
  <c r="H18" i="3"/>
  <c r="F25" i="3"/>
  <c r="F18" i="3"/>
  <c r="G25" i="3"/>
  <c r="G18" i="3"/>
  <c r="I25" i="3"/>
  <c r="I18" i="3"/>
  <c r="E29" i="3" l="1"/>
  <c r="F28" i="3"/>
  <c r="F26" i="3"/>
  <c r="I28" i="3"/>
  <c r="I26" i="3"/>
  <c r="H28" i="3"/>
  <c r="H26" i="3"/>
  <c r="G28" i="3"/>
  <c r="G26" i="3"/>
  <c r="G29" i="3" l="1"/>
  <c r="G21" i="4"/>
  <c r="G22" i="4" s="1"/>
  <c r="G24" i="4" s="1"/>
  <c r="G26" i="4" s="1"/>
  <c r="H29" i="3"/>
  <c r="H21" i="4"/>
  <c r="H22" i="4" s="1"/>
  <c r="H24" i="4" s="1"/>
  <c r="H26" i="4" s="1"/>
  <c r="I29" i="3"/>
  <c r="I21" i="4"/>
  <c r="I22" i="4" s="1"/>
  <c r="I24" i="4" s="1"/>
  <c r="I26" i="4" s="1"/>
  <c r="F29" i="3"/>
  <c r="F21" i="4"/>
  <c r="F22" i="4" s="1"/>
  <c r="F24" i="4" s="1"/>
  <c r="F26" i="4" s="1"/>
</calcChain>
</file>

<file path=xl/sharedStrings.xml><?xml version="1.0" encoding="utf-8"?>
<sst xmlns="http://schemas.openxmlformats.org/spreadsheetml/2006/main" count="460" uniqueCount="410">
  <si>
    <t>Balance sheet</t>
  </si>
  <si>
    <t>Consolidated</t>
  </si>
  <si>
    <t>31/12/2022
EUR</t>
  </si>
  <si>
    <t>31/12/2021
EUR</t>
  </si>
  <si>
    <t>31/12/2020
EUR</t>
  </si>
  <si>
    <t>31/12/2019
EUR</t>
  </si>
  <si>
    <t>31/12/2018
EUR</t>
  </si>
  <si>
    <t>12 months
Detailed
ICS</t>
  </si>
  <si>
    <t>Assets</t>
  </si>
  <si>
    <t xml:space="preserve"> A. TOTAL receivables due from shareholders</t>
  </si>
  <si>
    <t xml:space="preserve">   Called share capital</t>
  </si>
  <si>
    <t xml:space="preserve"> B. TOTAL FIXED ASSETS</t>
  </si>
  <si>
    <t xml:space="preserve">  B.I. TOTAL INTANGIBLE FIXED ASSETS</t>
  </si>
  <si>
    <t xml:space="preserve">   B.I.1. Start-up and expansion costs</t>
  </si>
  <si>
    <t xml:space="preserve">   B.I.2. Research and dev. exp.</t>
  </si>
  <si>
    <t xml:space="preserve">   B.I.3. Ind. patents and intellect. property rights</t>
  </si>
  <si>
    <t xml:space="preserve">   B.I.4. Concessions, licenses, trademarks and similar rights</t>
  </si>
  <si>
    <t xml:space="preserve">   B.I.5. Goodwill/Consolidation Difference</t>
  </si>
  <si>
    <t xml:space="preserve">    including: Goodwill</t>
  </si>
  <si>
    <t xml:space="preserve">   B.I.6. Additions in progress and advances</t>
  </si>
  <si>
    <t xml:space="preserve">   B.I.7. Others</t>
  </si>
  <si>
    <t xml:space="preserve">   (Amortization provision)</t>
  </si>
  <si>
    <t xml:space="preserve">  B.II. TOTAL TANGIBLE FIXED ASSETS</t>
  </si>
  <si>
    <t xml:space="preserve">    including: leased tangible assets</t>
  </si>
  <si>
    <t xml:space="preserve">   B.II.1. Land and buildings</t>
  </si>
  <si>
    <t xml:space="preserve">   B.II.2. Plant and machinery</t>
  </si>
  <si>
    <t xml:space="preserve">   B.II.3. Indust. and commercial equipment</t>
  </si>
  <si>
    <t xml:space="preserve">   B.II.4. Other assets</t>
  </si>
  <si>
    <t xml:space="preserve">   B.II.5. Additions in progress and advances</t>
  </si>
  <si>
    <t xml:space="preserve">   (Depreciation provision)</t>
  </si>
  <si>
    <t xml:space="preserve">  B.III. TOTAL FINANCIAL FIXED ASSETS</t>
  </si>
  <si>
    <t xml:space="preserve">    including: short term</t>
  </si>
  <si>
    <t xml:space="preserve">   B.III.1. Total equity investments</t>
  </si>
  <si>
    <t xml:space="preserve">    B.III.1.a. Subsidiary companies</t>
  </si>
  <si>
    <t xml:space="preserve">    B.III.1.b. Associated companies</t>
  </si>
  <si>
    <t xml:space="preserve">    B.III.1.c. Parent companies</t>
  </si>
  <si>
    <t xml:space="preserve">    B.III.1.d. Companies under parent companies control</t>
  </si>
  <si>
    <t xml:space="preserve">    B.III.1.d.bis. Other companies</t>
  </si>
  <si>
    <t xml:space="preserve">   B.III.2. Total Receivables</t>
  </si>
  <si>
    <t xml:space="preserve">    B.III.2.a. Due from subsidiary comp.</t>
  </si>
  <si>
    <t xml:space="preserve">    B.III.2.a. Due from subs. comp. - beyond 12 months</t>
  </si>
  <si>
    <t xml:space="preserve">    B.III.2.b. Due from assoc. comp.</t>
  </si>
  <si>
    <t xml:space="preserve">    B.III.2.b. Due from assoc. comp. - beyond 12 months</t>
  </si>
  <si>
    <t xml:space="preserve">    B.III.2.c. Due from parent comp.</t>
  </si>
  <si>
    <t xml:space="preserve">    B.III.2.c. Due from parent comp. - beyond 12 months</t>
  </si>
  <si>
    <t xml:space="preserve">    B.III.2.d. Due from comp. under parent companies control</t>
  </si>
  <si>
    <t xml:space="preserve">    B.III.2.d. Due from comp. under parent companies control - beyond 12 months</t>
  </si>
  <si>
    <t xml:space="preserve">    B.III.2.d.bis. Due from other comp.</t>
  </si>
  <si>
    <t xml:space="preserve">    B.III.2.d.bis Due from other comp. - beyond 12 months</t>
  </si>
  <si>
    <t xml:space="preserve">   B.III. FINANCIAL RECEIV. WITHIN 12 MONTHS</t>
  </si>
  <si>
    <t xml:space="preserve">   B.III. FINANCIAL RECEIV. BEYOND 12 MONTHS</t>
  </si>
  <si>
    <t xml:space="preserve">   B.III.3. Other securities</t>
  </si>
  <si>
    <t xml:space="preserve">   B.III.3.bis. Own shares</t>
  </si>
  <si>
    <t xml:space="preserve">   B.III.4. Derivatives</t>
  </si>
  <si>
    <t xml:space="preserve">   Own shares: par value</t>
  </si>
  <si>
    <t xml:space="preserve"> C. TOTAL CURRENT ASSETS</t>
  </si>
  <si>
    <t xml:space="preserve">  C.I. TOTAL INVENTORIES</t>
  </si>
  <si>
    <t xml:space="preserve">   C.I.1. Raw and consumable materials</t>
  </si>
  <si>
    <t xml:space="preserve">   C.I.2. Work in progress and semifinished products</t>
  </si>
  <si>
    <t xml:space="preserve">   C.I.3. Contract work in progress</t>
  </si>
  <si>
    <t xml:space="preserve">   C.I.4. Finished products and goods</t>
  </si>
  <si>
    <t xml:space="preserve">   C.I.5. Advances</t>
  </si>
  <si>
    <t xml:space="preserve">   Tangible fixed assets to be sold</t>
  </si>
  <si>
    <t xml:space="preserve">  C.II. TOTAL RECEIVABLES</t>
  </si>
  <si>
    <t xml:space="preserve">   C.II.1. Trade accounts</t>
  </si>
  <si>
    <t xml:space="preserve">   C.II.1. Trade accounts - beyond 12 months</t>
  </si>
  <si>
    <t xml:space="preserve">   C.II.2. Due from subs. comp.</t>
  </si>
  <si>
    <t xml:space="preserve">   C.II.2. Due from subs. comp. - beyond 12 months</t>
  </si>
  <si>
    <t xml:space="preserve">   C.II.3. Due from assoc. comp.</t>
  </si>
  <si>
    <t xml:space="preserve">   C.II.3. Due from assoc. comp. - beyond 12 months</t>
  </si>
  <si>
    <t xml:space="preserve">   C.II.4. Due from parent comp.</t>
  </si>
  <si>
    <t xml:space="preserve">   C.II.4. Due from parent comp. - beyond 12 months</t>
  </si>
  <si>
    <t xml:space="preserve">   C.II.5. Due from comp. under parent companies control</t>
  </si>
  <si>
    <t xml:space="preserve">   C.II.5. Due from comp. under parent companies control - beyond 12 months</t>
  </si>
  <si>
    <t xml:space="preserve">   C.II.5.bis. Tax receivables</t>
  </si>
  <si>
    <t xml:space="preserve">   C.II.5.bis. Tax receiv. - beyond 12 months</t>
  </si>
  <si>
    <t xml:space="preserve">   C.II.5.ter. Tax receiv. for prepaid taxes</t>
  </si>
  <si>
    <t xml:space="preserve">   C.II.5.ter. Tax receiv. for prepaid taxes - beyond 12 months</t>
  </si>
  <si>
    <t xml:space="preserve">   C.II.5.quater. Receiv. due from others</t>
  </si>
  <si>
    <t xml:space="preserve">   C.II.5.quater. Receiv. due from others - beyond 12 months</t>
  </si>
  <si>
    <t xml:space="preserve">   C.II. RECEIV. DUE WITHIN 12 MONTHS</t>
  </si>
  <si>
    <t xml:space="preserve">   Amounts due for advance taxation</t>
  </si>
  <si>
    <t xml:space="preserve">   C.II. RECEIV. DUE BEYOND 12 MONTHS</t>
  </si>
  <si>
    <t xml:space="preserve">  C.III. TOTAL FINANCIAL ASSETS</t>
  </si>
  <si>
    <t xml:space="preserve">   C.III.1. Invest. in subs. comp.</t>
  </si>
  <si>
    <t xml:space="preserve">   C.III.2. Invest. in assoc. comp.</t>
  </si>
  <si>
    <t xml:space="preserve">   C.III.3. Invest. in parent comp.</t>
  </si>
  <si>
    <t xml:space="preserve">   C.III.3.bis. Invest. in comp. under parent companies control</t>
  </si>
  <si>
    <t xml:space="preserve">   C.III.4. Other investments</t>
  </si>
  <si>
    <t xml:space="preserve">   C.III.4.bis. Own shares</t>
  </si>
  <si>
    <t xml:space="preserve">   C.III.5. Derivatives</t>
  </si>
  <si>
    <t xml:space="preserve">   C.III.6. Other securities</t>
  </si>
  <si>
    <t xml:space="preserve">   C.III.7. Financial instruments for cash pooling</t>
  </si>
  <si>
    <t xml:space="preserve">  C.IV. TOTAL LIQUID FUNDS</t>
  </si>
  <si>
    <t xml:space="preserve">   C.IV.1. Bank and postal deposits</t>
  </si>
  <si>
    <t xml:space="preserve">   C.IV.2. Checks</t>
  </si>
  <si>
    <t xml:space="preserve">   C.IV.3. Cash and cash equivalents</t>
  </si>
  <si>
    <t xml:space="preserve"> D. TOTAL ACCRUED INCOME AND PREPAID EXPENSES</t>
  </si>
  <si>
    <t xml:space="preserve">  Accrued income and prepaid exp.</t>
  </si>
  <si>
    <t xml:space="preserve"> TOTAL ASSETS</t>
  </si>
  <si>
    <t xml:space="preserve"> Liabilities</t>
  </si>
  <si>
    <t xml:space="preserve"> Shareholders' funds</t>
  </si>
  <si>
    <t xml:space="preserve"> A. TOTAL SHAREHOLDERS' FUNDS</t>
  </si>
  <si>
    <t xml:space="preserve">  A.I. Capital stock</t>
  </si>
  <si>
    <t xml:space="preserve">   including: Prepaid call from shareholders</t>
  </si>
  <si>
    <t xml:space="preserve">   including: Deposits for future capital increase</t>
  </si>
  <si>
    <t xml:space="preserve">   including: Deposits for  capital</t>
  </si>
  <si>
    <t xml:space="preserve">   including: Deposits for  loss covering</t>
  </si>
  <si>
    <t xml:space="preserve">  A.II. Share premium reserve</t>
  </si>
  <si>
    <t xml:space="preserve">  A.III. Revaluation reserves</t>
  </si>
  <si>
    <t xml:space="preserve">  A.IV. Legal reserve</t>
  </si>
  <si>
    <t xml:space="preserve">  A.V. Statutory reserves</t>
  </si>
  <si>
    <t xml:space="preserve">  Reserve for treasury stock</t>
  </si>
  <si>
    <t xml:space="preserve">  A.VI. Other reserves</t>
  </si>
  <si>
    <t xml:space="preserve">  GROUP consolidation reserve</t>
  </si>
  <si>
    <t xml:space="preserve">  A.VII. Reserve for expected cash flow hedge</t>
  </si>
  <si>
    <t xml:space="preserve">  A.VIII. Retained earnings (losses)</t>
  </si>
  <si>
    <t xml:space="preserve">  A.IX. Profit (loss) for the year</t>
  </si>
  <si>
    <t xml:space="preserve">   Dividend down payment</t>
  </si>
  <si>
    <t xml:space="preserve">   Partial covering for loss of the year</t>
  </si>
  <si>
    <t xml:space="preserve">  A.X. Negative reserves for own shares (+/-)</t>
  </si>
  <si>
    <t xml:space="preserve">  Group capital stock and reserves</t>
  </si>
  <si>
    <t xml:space="preserve">  Minority interests in cap. and reserves</t>
  </si>
  <si>
    <t xml:space="preserve">   including: deferred taxes</t>
  </si>
  <si>
    <t xml:space="preserve">  Minority interests in profit (loss) for the year</t>
  </si>
  <si>
    <t xml:space="preserve">  MINORITY INTERESTS SHAREHOLDERS' FUNDS</t>
  </si>
  <si>
    <t xml:space="preserve"> B. TOTAL PROVISIONS FOR RISKS AND CHARGES</t>
  </si>
  <si>
    <t xml:space="preserve">  B.1. Employee pensions and similar obligations</t>
  </si>
  <si>
    <t xml:space="preserve">  B.2. Taxation (including deferred taxation)</t>
  </si>
  <si>
    <t xml:space="preserve">  B.3. Derivative liabilities</t>
  </si>
  <si>
    <t xml:space="preserve">  B.4. Other provisions</t>
  </si>
  <si>
    <t xml:space="preserve">  of which: consolidation provision</t>
  </si>
  <si>
    <t xml:space="preserve"> C. SEVERANCE INDEMNITY RESERVE</t>
  </si>
  <si>
    <t xml:space="preserve"> Payables</t>
  </si>
  <si>
    <t xml:space="preserve"> D. TOTAL PAYABLES</t>
  </si>
  <si>
    <t xml:space="preserve">  D.1. Bonds</t>
  </si>
  <si>
    <t xml:space="preserve">  D.1. Bonds beyond 12 months</t>
  </si>
  <si>
    <t xml:space="preserve">  D.2. Convertible bonds</t>
  </si>
  <si>
    <t xml:space="preserve">  D.2. Convertible bonds - beyond 12 months</t>
  </si>
  <si>
    <t xml:space="preserve">  D.3. Due to shareholders for loans</t>
  </si>
  <si>
    <t xml:space="preserve">  D.3. Due to shareholders for loans - beyond 12 months</t>
  </si>
  <si>
    <t xml:space="preserve">  D.4. Due to banks</t>
  </si>
  <si>
    <t xml:space="preserve">  D.4. Due to banks - beyond 12 months</t>
  </si>
  <si>
    <t xml:space="preserve">  D.5. Due to other lenders</t>
  </si>
  <si>
    <t xml:space="preserve">  D.5. Due to other lenders - beyond 12 months</t>
  </si>
  <si>
    <t xml:space="preserve">  D.6. Advances</t>
  </si>
  <si>
    <t xml:space="preserve">  D.6. Advances - beyond 12 months</t>
  </si>
  <si>
    <t xml:space="preserve">  D.7. Due to suppliers</t>
  </si>
  <si>
    <t xml:space="preserve">  D.7. Due to suppliers - beyond 12 months</t>
  </si>
  <si>
    <t xml:space="preserve">  D.8. Negotiable instruments</t>
  </si>
  <si>
    <t xml:space="preserve">  D.8. Negotiable instruments - beyond 12 months</t>
  </si>
  <si>
    <t xml:space="preserve">  D.9. Due to subsidiary companies</t>
  </si>
  <si>
    <t xml:space="preserve">  D.9. Due to subsidiary companies - beyond 12 months</t>
  </si>
  <si>
    <t xml:space="preserve">  D.10. Due to associated companies</t>
  </si>
  <si>
    <t xml:space="preserve">  D.10. Due to associated companies -beyond 12 months</t>
  </si>
  <si>
    <t xml:space="preserve">  D.11. Due to parent companies</t>
  </si>
  <si>
    <t xml:space="preserve">  D.11. Due to parent companies beyond 12 months</t>
  </si>
  <si>
    <t xml:space="preserve">  D.11.bis. Due to comp. under parent companies control</t>
  </si>
  <si>
    <t xml:space="preserve">  D.11.bis. Due to comp. under parent companies control - beyond 12 month</t>
  </si>
  <si>
    <t xml:space="preserve">  D.12. Tax payable</t>
  </si>
  <si>
    <t xml:space="preserve">  D.12. Tax payable beyond 12 months</t>
  </si>
  <si>
    <t xml:space="preserve">  D.13. Due to social security institutions</t>
  </si>
  <si>
    <t xml:space="preserve">  D.13. Due to social security institutions - beyond 12 months</t>
  </si>
  <si>
    <t xml:space="preserve">  D.14. Other payables</t>
  </si>
  <si>
    <t xml:space="preserve">  D.14. Other payables beyond 12 months</t>
  </si>
  <si>
    <t xml:space="preserve">  D. Payables due within 12 months</t>
  </si>
  <si>
    <t xml:space="preserve">  D. Payables due beyond 12 months</t>
  </si>
  <si>
    <t xml:space="preserve">  Total payables during period</t>
  </si>
  <si>
    <t xml:space="preserve">  Total payables after period</t>
  </si>
  <si>
    <t xml:space="preserve"> E. TOTAL ACCRUED EXPENSES AND DEFERRED INCOME</t>
  </si>
  <si>
    <t xml:space="preserve">  Fees on loans</t>
  </si>
  <si>
    <t xml:space="preserve"> TOTAL LIABILITIES AND SHAREHOLDERS' FUNDS</t>
  </si>
  <si>
    <t xml:space="preserve"> TOTAL MEMORANDUM ACCOUNTS</t>
  </si>
  <si>
    <t xml:space="preserve">  TOTAL WARRANTIES SUPPLIED</t>
  </si>
  <si>
    <t>Profit and loss account</t>
  </si>
  <si>
    <t xml:space="preserve"> A. TOTAL VALUE OF PRODUCTION</t>
  </si>
  <si>
    <t xml:space="preserve">  A.1. Revenues from sales and services</t>
  </si>
  <si>
    <t xml:space="preserve">  A.2. Changes in inventories</t>
  </si>
  <si>
    <t xml:space="preserve">  A.3. Changes in contract work in progress</t>
  </si>
  <si>
    <t xml:space="preserve">  A.2. + A.3. Total changes</t>
  </si>
  <si>
    <t xml:space="preserve">  A.4. Additions to fixed assets</t>
  </si>
  <si>
    <t xml:space="preserve">  A.5. Other revenue</t>
  </si>
  <si>
    <t xml:space="preserve">  operating grants</t>
  </si>
  <si>
    <t xml:space="preserve"> B. TOTAL PRODUCTION COSTS</t>
  </si>
  <si>
    <t xml:space="preserve">  B.6. Raw, consum. mat. and goods for resale</t>
  </si>
  <si>
    <t xml:space="preserve">  B.7. Services</t>
  </si>
  <si>
    <t xml:space="preserve">  B.8. Use of third parties assets</t>
  </si>
  <si>
    <t xml:space="preserve">  B.9. Total personnel costs</t>
  </si>
  <si>
    <t xml:space="preserve">   B.9.a. Wages and salaries</t>
  </si>
  <si>
    <t xml:space="preserve">   B.9.b. Social security charges</t>
  </si>
  <si>
    <t xml:space="preserve">   B.9.c. Severance indemnities</t>
  </si>
  <si>
    <t xml:space="preserve">   B.9.d. Pensions and similar obligations</t>
  </si>
  <si>
    <t xml:space="preserve">   B.9.e. Other costs</t>
  </si>
  <si>
    <t xml:space="preserve">   B.9.f. Severance indemnity + Pension + Other costs</t>
  </si>
  <si>
    <t xml:space="preserve">  B.10. Total depreciation, amortization and writedowns</t>
  </si>
  <si>
    <t xml:space="preserve">   B.10.a. Amort. of intangible fixed assets</t>
  </si>
  <si>
    <t xml:space="preserve">   B.10.b. Depr. of tangible fixed assets</t>
  </si>
  <si>
    <t xml:space="preserve">   B.10.c. Writedown of fixed assets</t>
  </si>
  <si>
    <t xml:space="preserve">   B.10.a+b+c. Depreciation, amortization and writedowns of fixed assets</t>
  </si>
  <si>
    <t xml:space="preserve">   B.10.d. Writedown of receivables</t>
  </si>
  <si>
    <t xml:space="preserve">  B.11. Change in inventory of raw and consumable materials</t>
  </si>
  <si>
    <t xml:space="preserve">  B.12. Provisions fo risks and charges</t>
  </si>
  <si>
    <t xml:space="preserve">  B.13. Other provisions</t>
  </si>
  <si>
    <t xml:space="preserve">  B.14. Other operating expenses</t>
  </si>
  <si>
    <t xml:space="preserve"> OPERATING MARGIN</t>
  </si>
  <si>
    <t xml:space="preserve"> Added Value</t>
  </si>
  <si>
    <t xml:space="preserve"> C. TOTAL FINANCIAL INCOME AND CHARGES</t>
  </si>
  <si>
    <t xml:space="preserve">  C.15. Total income from equity investments</t>
  </si>
  <si>
    <t xml:space="preserve">  of which: from subsidiaries, associated, parent cies and cies under parent cies control</t>
  </si>
  <si>
    <t xml:space="preserve">   of which: from parent companies</t>
  </si>
  <si>
    <t xml:space="preserve">   of which: from companies under parent companies control</t>
  </si>
  <si>
    <t xml:space="preserve">  C.16. Total other financial income</t>
  </si>
  <si>
    <t xml:space="preserve">   C.16.a. From financial receivables</t>
  </si>
  <si>
    <t xml:space="preserve">    of which: from subsidiaries, associated, parent cies and cies under parent cies control</t>
  </si>
  <si>
    <t xml:space="preserve">    of which: from companies under parent companies control</t>
  </si>
  <si>
    <t xml:space="preserve">   C.16.b. From securities held as fixed assets</t>
  </si>
  <si>
    <t xml:space="preserve">   C.16.c. From securities held as current assets</t>
  </si>
  <si>
    <t xml:space="preserve">   C.16.b+c. From securities</t>
  </si>
  <si>
    <t xml:space="preserve">   C.16.d. Income other than the above</t>
  </si>
  <si>
    <t xml:space="preserve">  C.17. Total financial charges</t>
  </si>
  <si>
    <t xml:space="preserve">   of which: from financial receivables subs and assoc.</t>
  </si>
  <si>
    <t xml:space="preserve">  C.17.bis Profit and Loss on Foreign Exchange</t>
  </si>
  <si>
    <t xml:space="preserve"> D. TOTAL FINANCIAL ASSETS ADJUSTMENTS</t>
  </si>
  <si>
    <t xml:space="preserve">  D.18. Total Revaluations</t>
  </si>
  <si>
    <t xml:space="preserve">   D.18.a. Reval. of equity investments</t>
  </si>
  <si>
    <t xml:space="preserve">   D.18.b. Reval. of other financial assets</t>
  </si>
  <si>
    <t xml:space="preserve">   D.18.c. Reval. of securities</t>
  </si>
  <si>
    <t xml:space="preserve">   D.18.d. Reval. of derivatives</t>
  </si>
  <si>
    <t xml:space="preserve">   Reval. of financial instruments for cash pooling</t>
  </si>
  <si>
    <t xml:space="preserve">  D.19. Total Writedowns</t>
  </si>
  <si>
    <t xml:space="preserve">   D.19.a. Writedowns of equity invest.</t>
  </si>
  <si>
    <t xml:space="preserve">   D.19.b. Writedowns of other fin. Ass.</t>
  </si>
  <si>
    <t xml:space="preserve">   D.19.c. Writedowns of securities</t>
  </si>
  <si>
    <t xml:space="preserve">   D.19.d. Writedowns of derivatives</t>
  </si>
  <si>
    <t xml:space="preserve">   Writedowns of financial instruments for cash pooling</t>
  </si>
  <si>
    <t xml:space="preserve"> TOTAL EXTRAORDINARY REVENUES AND CHARGES</t>
  </si>
  <si>
    <t xml:space="preserve">  Extraordinary revenues</t>
  </si>
  <si>
    <t xml:space="preserve">   of which capital gains</t>
  </si>
  <si>
    <t xml:space="preserve">  Extraordinary charges</t>
  </si>
  <si>
    <t xml:space="preserve">   of which capital losses</t>
  </si>
  <si>
    <t xml:space="preserve">   of which taxes previous period</t>
  </si>
  <si>
    <t xml:space="preserve"> PROFIT/LOSS BEFORE TAXATION</t>
  </si>
  <si>
    <t xml:space="preserve">  20. Total current, deferred and prepaid income taxes</t>
  </si>
  <si>
    <t xml:space="preserve">   Current taxes</t>
  </si>
  <si>
    <t xml:space="preserve">   Taxation related to previous years</t>
  </si>
  <si>
    <t xml:space="preserve">   Prepaid and deferred taxes</t>
  </si>
  <si>
    <t xml:space="preserve">   deferred taxation (+/-)</t>
  </si>
  <si>
    <t xml:space="preserve">   advance taxation (+/-)</t>
  </si>
  <si>
    <t xml:space="preserve">   Income (expenses) for adherence to fiscal transparency regime</t>
  </si>
  <si>
    <t xml:space="preserve">  21. PROFIT (LOSS)</t>
  </si>
  <si>
    <t xml:space="preserve">  PROFIT (LOSS) THIRD PARTIES</t>
  </si>
  <si>
    <t xml:space="preserve">  PROFIT (LOSS) GROUP</t>
  </si>
  <si>
    <t xml:space="preserve">   Employees</t>
  </si>
  <si>
    <t>Ratios</t>
  </si>
  <si>
    <t xml:space="preserve">  1. Financial indicators</t>
  </si>
  <si>
    <t xml:space="preserve">   - Liquidity ratio</t>
  </si>
  <si>
    <t xml:space="preserve">   - Current ratio</t>
  </si>
  <si>
    <t xml:space="preserve">   - Current liabilities/Tot ass.</t>
  </si>
  <si>
    <t xml:space="preserve">   - Long/med term liab/Tot ass.</t>
  </si>
  <si>
    <t xml:space="preserve">   - Tang. fixed ass./Share funds</t>
  </si>
  <si>
    <t xml:space="preserve">   - Depr./Tang. fixed assets</t>
  </si>
  <si>
    <t xml:space="preserve">   - Leverage</t>
  </si>
  <si>
    <t xml:space="preserve">   - Coverage of fixed assets</t>
  </si>
  <si>
    <t xml:space="preserve">   - Banks/Turnover</t>
  </si>
  <si>
    <t xml:space="preserve">   - Cost of debit</t>
  </si>
  <si>
    <t xml:space="preserve">   - Interest/Operating profit</t>
  </si>
  <si>
    <t xml:space="preserve">   - Interest/Turnover</t>
  </si>
  <si>
    <t xml:space="preserve">   - Solvency ratio</t>
  </si>
  <si>
    <t xml:space="preserve">   - Share funds/Liabilities</t>
  </si>
  <si>
    <t xml:space="preserve">   - Net Financial Position</t>
  </si>
  <si>
    <t xml:space="preserve">   - Debt/Equity ratio</t>
  </si>
  <si>
    <t xml:space="preserve">   - Debt/EBITDA ratio</t>
  </si>
  <si>
    <t xml:space="preserve">  2. Management ratios</t>
  </si>
  <si>
    <t xml:space="preserve">   - Total assets turnover (times)</t>
  </si>
  <si>
    <t xml:space="preserve">   - Working cap. turnover (times)</t>
  </si>
  <si>
    <t xml:space="preserve">   - Incidenza circolante operativo</t>
  </si>
  <si>
    <t xml:space="preserve">   - Stocks/Turnover (days)</t>
  </si>
  <si>
    <t xml:space="preserve">   - Stocks/Cost goods sold (days)</t>
  </si>
  <si>
    <t xml:space="preserve">   - Durata media dei crediti al lordo IVA (days)</t>
  </si>
  <si>
    <t xml:space="preserve">   - Durata media dei debiti al lordo IVA (days)</t>
  </si>
  <si>
    <t xml:space="preserve">   - Durata Ciclo Commerciale (days)</t>
  </si>
  <si>
    <t xml:space="preserve">  3. Profitability ratios</t>
  </si>
  <si>
    <t xml:space="preserve">   - EBITDA</t>
  </si>
  <si>
    <t xml:space="preserve">   - EBITDA/Vendite</t>
  </si>
  <si>
    <t xml:space="preserve">   - Return on asset (ROA)</t>
  </si>
  <si>
    <t xml:space="preserve">   - Return on investment (ROI)</t>
  </si>
  <si>
    <t xml:space="preserve">   - Return on sales (ROS)</t>
  </si>
  <si>
    <t xml:space="preserve">   - Return on equity (ROE)</t>
  </si>
  <si>
    <t xml:space="preserve">   - Net P&amp;L / Operating P&amp;L</t>
  </si>
  <si>
    <t xml:space="preserve">  4. Productivity ratios</t>
  </si>
  <si>
    <t xml:space="preserve">   - Number of employees</t>
  </si>
  <si>
    <t xml:space="preserve">   - Turnover per employee</t>
  </si>
  <si>
    <t xml:space="preserve">   - Added value per employee</t>
  </si>
  <si>
    <t xml:space="preserve">   - Staff Costs per employee</t>
  </si>
  <si>
    <t xml:space="preserve">   - Turnover/Staff Costs</t>
  </si>
  <si>
    <t xml:space="preserve">  5. Significant data</t>
  </si>
  <si>
    <t xml:space="preserve">   - Net working capital</t>
  </si>
  <si>
    <t xml:space="preserve">   - Gross profit</t>
  </si>
  <si>
    <t xml:space="preserve">   - Net short term assets</t>
  </si>
  <si>
    <t xml:space="preserve">   - Share funds - Fixed assets</t>
  </si>
  <si>
    <t xml:space="preserve">   - Cash Flow</t>
  </si>
  <si>
    <t>€m</t>
  </si>
  <si>
    <t>Property, plant &amp; equipment</t>
  </si>
  <si>
    <t>Intangible assets</t>
  </si>
  <si>
    <t>Financial assets</t>
  </si>
  <si>
    <t>Inventory</t>
  </si>
  <si>
    <t>Receivables</t>
  </si>
  <si>
    <t>Payables</t>
  </si>
  <si>
    <t>Pre-payments</t>
  </si>
  <si>
    <t>Other assets</t>
  </si>
  <si>
    <t>Other liabilities</t>
  </si>
  <si>
    <t>Severance pay fund</t>
  </si>
  <si>
    <t>Other funds</t>
  </si>
  <si>
    <t>Other non current assets / (liabilities)</t>
  </si>
  <si>
    <t>Cash</t>
  </si>
  <si>
    <t>Bank debt (&lt;12 months)</t>
  </si>
  <si>
    <t>Bank debt (&gt;12 months)</t>
  </si>
  <si>
    <t>Other debt (&lt;12 months)</t>
  </si>
  <si>
    <t>Other debt(&gt;12 months)</t>
  </si>
  <si>
    <t>Equity (including shareholders' loan)</t>
  </si>
  <si>
    <t>Total sources</t>
  </si>
  <si>
    <t>Check</t>
  </si>
  <si>
    <t>Value of production</t>
  </si>
  <si>
    <t>Yoy growth (%)</t>
  </si>
  <si>
    <t>Raw materials</t>
  </si>
  <si>
    <t>First margin</t>
  </si>
  <si>
    <t>Margin (% Value of production)</t>
  </si>
  <si>
    <t>Personnel</t>
  </si>
  <si>
    <t>Services</t>
  </si>
  <si>
    <t>Other costs</t>
  </si>
  <si>
    <t>EBITDA</t>
  </si>
  <si>
    <t>Impairment losses on receivables</t>
  </si>
  <si>
    <t>EBITDA Adj</t>
  </si>
  <si>
    <t>D&amp;A</t>
  </si>
  <si>
    <t>EBIT</t>
  </si>
  <si>
    <t>Provisions</t>
  </si>
  <si>
    <t>Financial income</t>
  </si>
  <si>
    <t>Financial expenses</t>
  </si>
  <si>
    <t>Net income / (loss) on exchange rates</t>
  </si>
  <si>
    <t>Capital gains / (write downs)</t>
  </si>
  <si>
    <t>Extraordinary income / (costs)</t>
  </si>
  <si>
    <t>EBT</t>
  </si>
  <si>
    <t>Taxes</t>
  </si>
  <si>
    <t>Net Profit</t>
  </si>
  <si>
    <t>Delta inventory</t>
  </si>
  <si>
    <t>Delta receivables</t>
  </si>
  <si>
    <t>Delta payables</t>
  </si>
  <si>
    <t>Delta pre-payments</t>
  </si>
  <si>
    <t>Delta Net Working Capital</t>
  </si>
  <si>
    <t>Delta other current assets / liabilities</t>
  </si>
  <si>
    <t>Operating Cash Flow</t>
  </si>
  <si>
    <t>Net Capex (tangible assets)</t>
  </si>
  <si>
    <t>Delta other non current assets / liabilities</t>
  </si>
  <si>
    <t>Extraordinary Items</t>
  </si>
  <si>
    <t>Delta bank debt</t>
  </si>
  <si>
    <t>Delta other debt</t>
  </si>
  <si>
    <t>Net financial gain / (expense)</t>
  </si>
  <si>
    <t>Free Cash Flow to Equity</t>
  </si>
  <si>
    <t>Delta equity</t>
  </si>
  <si>
    <t>Delta Cash</t>
  </si>
  <si>
    <t>Cash at end of period</t>
  </si>
  <si>
    <t>Profitability Ratios</t>
  </si>
  <si>
    <t>Liquidity Ratios</t>
  </si>
  <si>
    <t>Financial Ratios</t>
  </si>
  <si>
    <t>Net Debt</t>
  </si>
  <si>
    <t>NetDebt/EBITDA</t>
  </si>
  <si>
    <t>Current Ratio</t>
  </si>
  <si>
    <t>Quick Ratio</t>
  </si>
  <si>
    <t>DPO</t>
  </si>
  <si>
    <t>DSO</t>
  </si>
  <si>
    <t>DIO</t>
  </si>
  <si>
    <t>Net Working Capital (days)</t>
  </si>
  <si>
    <t>Asset Turnover</t>
  </si>
  <si>
    <t>Intererest Coverage</t>
  </si>
  <si>
    <t>Debt to Equity</t>
  </si>
  <si>
    <t>Net Debt/EBITDA</t>
  </si>
  <si>
    <t>Cash Convershion Ratio</t>
  </si>
  <si>
    <t>Cash available for debt service (FCFF)</t>
  </si>
  <si>
    <t>Return On Investment</t>
  </si>
  <si>
    <t>Return On Total Assets</t>
  </si>
  <si>
    <t>Return On Sales</t>
  </si>
  <si>
    <t>Return On Equity</t>
  </si>
  <si>
    <t>Cost Of Debt</t>
  </si>
  <si>
    <t>Cash Flow (Indirect Method)</t>
  </si>
  <si>
    <t>Profit &amp; Loss</t>
  </si>
  <si>
    <t>Fixed assets</t>
  </si>
  <si>
    <t>Operating working capital</t>
  </si>
  <si>
    <t>Other current assets / (liabilities)</t>
  </si>
  <si>
    <t>Net working capital</t>
  </si>
  <si>
    <t>Total other non current</t>
  </si>
  <si>
    <t>Net invested capital</t>
  </si>
  <si>
    <t xml:space="preserve">Reclassified Balance Sheet </t>
  </si>
  <si>
    <t>5 months
Detailed
ICS</t>
  </si>
  <si>
    <t>Intangibles reduction in 2019 is due to reverse merger of the subsidiry which has reduced original Goodwill</t>
  </si>
  <si>
    <t>Debt has always been increasing</t>
  </si>
  <si>
    <t>Even if there was recapitalization, the faced losses decreased significantly the equity</t>
  </si>
  <si>
    <t xml:space="preserve">Tanche A </t>
  </si>
  <si>
    <t>Original Agreement</t>
  </si>
  <si>
    <t>New Agreement</t>
  </si>
  <si>
    <t>Tanche B</t>
  </si>
  <si>
    <t>SACE</t>
  </si>
  <si>
    <t>Revolving Credit Facility</t>
  </si>
  <si>
    <t>Capex Credit Line</t>
  </si>
  <si>
    <t>New Financial Agreement (€m)</t>
  </si>
  <si>
    <t>NOTA BENE: The 2018 numbers refer to a 5 months time period ?</t>
  </si>
  <si>
    <t>Goodwill write down for 4 m€</t>
  </si>
  <si>
    <t>Debt financing re-negotiation</t>
  </si>
  <si>
    <t>Sales are constantly growing, but margins are reducing. Still they are large.</t>
  </si>
  <si>
    <t>Total Original</t>
  </si>
  <si>
    <t>Total New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</si>
</sst>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,##0"/>
    <numFmt numFmtId="165" formatCode="#,##0.0;\(#,##0.0\);\-;@"/>
    <numFmt numFmtId="166" formatCode="#,##0.0;\(#,##0.0\);\-"/>
    <numFmt numFmtId="167" formatCode="#,##0.0000000;\(#,##0.0000000\);\-"/>
    <numFmt numFmtId="168" formatCode="#,##0.00000000;\(#,##0.00000000\);\-"/>
    <numFmt numFmtId="169" formatCode="0.0%"/>
    <numFmt numFmtId="170" formatCode="#,##0;\(#,##0\);\-"/>
  </numFmts>
  <fonts count="2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8.5"/>
      <color rgb="FF003366"/>
      <name val="Verdana"/>
      <family val="2"/>
    </font>
    <font>
      <sz val="8.5"/>
      <color rgb="FF003366"/>
      <name val="Verdana"/>
      <family val="2"/>
    </font>
    <font>
      <sz val="8.5"/>
      <color rgb="FF000000"/>
      <name val="Verdana"/>
      <family val="2"/>
    </font>
    <font>
      <b/>
      <sz val="8.5"/>
      <color rgb="FF333333"/>
      <name val="Verdana"/>
      <family val="2"/>
    </font>
    <font>
      <i/>
      <sz val="8.5"/>
      <color rgb="FF333333"/>
      <name val="Verdana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theme="0"/>
      <name val="Times New Roman"/>
      <family val="1"/>
    </font>
    <font>
      <sz val="10"/>
      <color rgb="FF00000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FFFFFF"/>
      <name val="Times New Roman"/>
      <family val="1"/>
    </font>
    <font>
      <sz val="10"/>
      <name val="Times New Roman"/>
      <family val="1"/>
    </font>
    <font>
      <sz val="8.5"/>
      <color rgb="FF333333"/>
      <name val="verdana"/>
    </font>
    <font>
      <i/>
      <sz val="8.5"/>
      <color rgb="FF333333"/>
      <name val="verdana"/>
    </font>
    <font>
      <sz val="8.5"/>
      <color rgb="FF000000"/>
      <name val="verdana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2CBEA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D1D6DC"/>
      </patternFill>
    </fill>
    <fill>
      <patternFill patternType="solid">
        <fgColor rgb="FFE4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 tint="-0.499984740745262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rgb="FF000000"/>
      </patternFill>
    </fill>
  </fills>
  <borders count="10"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858585"/>
      </top>
      <bottom style="thin">
        <color rgb="FF858585"/>
      </bottom>
      <diagonal/>
    </border>
    <border>
      <left/>
      <right/>
      <top style="thin">
        <color rgb="FF858585"/>
      </top>
      <bottom style="thin">
        <color rgb="FF858585"/>
      </bottom>
      <diagonal/>
    </border>
    <border>
      <left style="thin">
        <color rgb="FFFFFFFF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</cellStyleXfs>
  <cellXfs count="122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4" borderId="4" xfId="0" applyFill="1" applyBorder="1"/>
    <xf numFmtId="0" fontId="3" fillId="4" borderId="5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right" vertical="top" wrapText="1"/>
    </xf>
    <xf numFmtId="0" fontId="0" fillId="5" borderId="4" xfId="0" applyFill="1" applyBorder="1"/>
    <xf numFmtId="0" fontId="0" fillId="5" borderId="5" xfId="0" applyFill="1" applyBorder="1"/>
    <xf numFmtId="0" fontId="0" fillId="6" borderId="4" xfId="0" applyFill="1" applyBorder="1"/>
    <xf numFmtId="0" fontId="5" fillId="6" borderId="5" xfId="0" applyFont="1" applyFill="1" applyBorder="1" applyAlignment="1">
      <alignment horizontal="left" vertical="top" wrapText="1"/>
    </xf>
    <xf numFmtId="0" fontId="0" fillId="6" borderId="5" xfId="0" applyFill="1" applyBorder="1"/>
    <xf numFmtId="0" fontId="0" fillId="2" borderId="4" xfId="0" applyFill="1" applyBorder="1"/>
    <xf numFmtId="0" fontId="4" fillId="2" borderId="5" xfId="0" applyFont="1" applyFill="1" applyBorder="1" applyAlignment="1">
      <alignment horizontal="left" vertical="top" wrapText="1"/>
    </xf>
    <xf numFmtId="0" fontId="0" fillId="2" borderId="5" xfId="0" applyFill="1" applyBorder="1"/>
    <xf numFmtId="0" fontId="6" fillId="2" borderId="5" xfId="0" applyFont="1" applyFill="1" applyBorder="1" applyAlignment="1">
      <alignment horizontal="left" vertical="top" wrapText="1"/>
    </xf>
    <xf numFmtId="0" fontId="0" fillId="7" borderId="4" xfId="0" applyFill="1" applyBorder="1"/>
    <xf numFmtId="0" fontId="5" fillId="7" borderId="5" xfId="0" applyFont="1" applyFill="1" applyBorder="1" applyAlignment="1">
      <alignment horizontal="left" vertical="top" wrapText="1"/>
    </xf>
    <xf numFmtId="0" fontId="0" fillId="7" borderId="5" xfId="0" applyFill="1" applyBorder="1"/>
    <xf numFmtId="0" fontId="2" fillId="3" borderId="2" xfId="0" applyFont="1" applyFill="1" applyBorder="1" applyAlignment="1">
      <alignment vertical="top"/>
    </xf>
    <xf numFmtId="0" fontId="3" fillId="4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12" borderId="4" xfId="0" applyFill="1" applyBorder="1"/>
    <xf numFmtId="0" fontId="4" fillId="12" borderId="5" xfId="0" applyFont="1" applyFill="1" applyBorder="1" applyAlignment="1">
      <alignment horizontal="left" vertical="top" wrapText="1"/>
    </xf>
    <xf numFmtId="0" fontId="0" fillId="12" borderId="0" xfId="0" applyFill="1"/>
    <xf numFmtId="0" fontId="9" fillId="11" borderId="0" xfId="5" applyFont="1" applyFill="1"/>
    <xf numFmtId="0" fontId="10" fillId="0" borderId="0" xfId="0" applyFont="1"/>
    <xf numFmtId="0" fontId="11" fillId="0" borderId="7" xfId="5" applyFont="1" applyBorder="1"/>
    <xf numFmtId="0" fontId="10" fillId="0" borderId="7" xfId="0" applyFont="1" applyBorder="1"/>
    <xf numFmtId="165" fontId="12" fillId="0" borderId="0" xfId="5" applyNumberFormat="1" applyFont="1"/>
    <xf numFmtId="166" fontId="10" fillId="0" borderId="0" xfId="0" applyNumberFormat="1" applyFont="1"/>
    <xf numFmtId="165" fontId="13" fillId="10" borderId="6" xfId="5" applyNumberFormat="1" applyFont="1" applyFill="1" applyBorder="1"/>
    <xf numFmtId="166" fontId="14" fillId="10" borderId="6" xfId="0" applyNumberFormat="1" applyFont="1" applyFill="1" applyBorder="1"/>
    <xf numFmtId="165" fontId="13" fillId="0" borderId="6" xfId="5" applyNumberFormat="1" applyFont="1" applyBorder="1"/>
    <xf numFmtId="166" fontId="14" fillId="0" borderId="6" xfId="0" applyNumberFormat="1" applyFont="1" applyBorder="1"/>
    <xf numFmtId="165" fontId="13" fillId="0" borderId="8" xfId="5" applyNumberFormat="1" applyFont="1" applyBorder="1"/>
    <xf numFmtId="165" fontId="13" fillId="8" borderId="6" xfId="5" applyNumberFormat="1" applyFont="1" applyFill="1" applyBorder="1"/>
    <xf numFmtId="166" fontId="10" fillId="8" borderId="6" xfId="0" applyNumberFormat="1" applyFont="1" applyFill="1" applyBorder="1"/>
    <xf numFmtId="165" fontId="15" fillId="9" borderId="0" xfId="4" applyNumberFormat="1" applyFont="1" applyFill="1" applyAlignment="1">
      <alignment horizontal="left" indent="1"/>
    </xf>
    <xf numFmtId="166" fontId="10" fillId="9" borderId="0" xfId="0" applyNumberFormat="1" applyFont="1" applyFill="1"/>
    <xf numFmtId="0" fontId="16" fillId="0" borderId="0" xfId="0" applyFont="1"/>
    <xf numFmtId="168" fontId="10" fillId="0" borderId="0" xfId="0" applyNumberFormat="1" applyFont="1"/>
    <xf numFmtId="167" fontId="10" fillId="0" borderId="0" xfId="0" applyNumberFormat="1" applyFont="1"/>
    <xf numFmtId="0" fontId="11" fillId="0" borderId="0" xfId="5" applyFont="1"/>
    <xf numFmtId="165" fontId="14" fillId="13" borderId="6" xfId="4" applyNumberFormat="1" applyFont="1" applyFill="1" applyBorder="1"/>
    <xf numFmtId="0" fontId="10" fillId="13" borderId="6" xfId="0" applyFont="1" applyFill="1" applyBorder="1"/>
    <xf numFmtId="166" fontId="14" fillId="13" borderId="6" xfId="0" applyNumberFormat="1" applyFont="1" applyFill="1" applyBorder="1"/>
    <xf numFmtId="165" fontId="16" fillId="14" borderId="0" xfId="4" applyNumberFormat="1" applyFont="1" applyFill="1" applyAlignment="1">
      <alignment horizontal="left" indent="1"/>
    </xf>
    <xf numFmtId="0" fontId="10" fillId="14" borderId="0" xfId="0" applyFont="1" applyFill="1"/>
    <xf numFmtId="169" fontId="10" fillId="14" borderId="0" xfId="0" applyNumberFormat="1" applyFont="1" applyFill="1"/>
    <xf numFmtId="165" fontId="10" fillId="0" borderId="0" xfId="4" applyNumberFormat="1" applyFont="1"/>
    <xf numFmtId="165" fontId="16" fillId="14" borderId="0" xfId="0" applyNumberFormat="1" applyFont="1" applyFill="1" applyAlignment="1">
      <alignment horizontal="left" indent="1"/>
    </xf>
    <xf numFmtId="165" fontId="10" fillId="0" borderId="0" xfId="0" applyNumberFormat="1" applyFont="1"/>
    <xf numFmtId="165" fontId="14" fillId="13" borderId="0" xfId="0" applyNumberFormat="1" applyFont="1" applyFill="1"/>
    <xf numFmtId="165" fontId="14" fillId="13" borderId="6" xfId="5" applyNumberFormat="1" applyFont="1" applyFill="1" applyBorder="1"/>
    <xf numFmtId="166" fontId="10" fillId="13" borderId="6" xfId="0" applyNumberFormat="1" applyFont="1" applyFill="1" applyBorder="1"/>
    <xf numFmtId="165" fontId="10" fillId="0" borderId="0" xfId="5" applyNumberFormat="1" applyFont="1"/>
    <xf numFmtId="165" fontId="16" fillId="0" borderId="0" xfId="3" applyNumberFormat="1" applyFont="1" applyAlignment="1">
      <alignment horizontal="left" indent="1"/>
    </xf>
    <xf numFmtId="165" fontId="14" fillId="0" borderId="8" xfId="5" quotePrefix="1" applyNumberFormat="1" applyFont="1" applyBorder="1"/>
    <xf numFmtId="0" fontId="10" fillId="0" borderId="8" xfId="0" applyFont="1" applyBorder="1"/>
    <xf numFmtId="165" fontId="14" fillId="0" borderId="8" xfId="0" applyNumberFormat="1" applyFont="1" applyBorder="1"/>
    <xf numFmtId="165" fontId="10" fillId="0" borderId="0" xfId="3" applyNumberFormat="1" applyFont="1"/>
    <xf numFmtId="0" fontId="10" fillId="0" borderId="0" xfId="5" applyFont="1"/>
    <xf numFmtId="165" fontId="14" fillId="13" borderId="6" xfId="0" applyNumberFormat="1" applyFont="1" applyFill="1" applyBorder="1"/>
    <xf numFmtId="165" fontId="14" fillId="0" borderId="0" xfId="5" applyNumberFormat="1" applyFont="1"/>
    <xf numFmtId="165" fontId="14" fillId="0" borderId="0" xfId="0" applyNumberFormat="1" applyFont="1"/>
    <xf numFmtId="165" fontId="16" fillId="0" borderId="0" xfId="0" applyNumberFormat="1" applyFont="1"/>
    <xf numFmtId="165" fontId="16" fillId="0" borderId="0" xfId="5" applyNumberFormat="1" applyFont="1"/>
    <xf numFmtId="0" fontId="17" fillId="0" borderId="0" xfId="5" applyFont="1"/>
    <xf numFmtId="0" fontId="0" fillId="2" borderId="3" xfId="0" applyFill="1" applyBorder="1"/>
    <xf numFmtId="0" fontId="3" fillId="4" borderId="5" xfId="0" applyFont="1" applyFill="1" applyBorder="1" applyAlignment="1">
      <alignment vertical="top"/>
    </xf>
    <xf numFmtId="0" fontId="5" fillId="6" borderId="5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/>
    </xf>
    <xf numFmtId="0" fontId="4" fillId="12" borderId="5" xfId="0" applyFont="1" applyFill="1" applyBorder="1" applyAlignment="1">
      <alignment horizontal="left" vertical="top"/>
    </xf>
    <xf numFmtId="0" fontId="5" fillId="7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170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0" fillId="9" borderId="0" xfId="0" applyFont="1" applyFill="1"/>
    <xf numFmtId="166" fontId="18" fillId="9" borderId="0" xfId="0" applyNumberFormat="1" applyFont="1" applyFill="1" applyAlignment="1">
      <alignment horizontal="center"/>
    </xf>
    <xf numFmtId="0" fontId="10" fillId="8" borderId="0" xfId="0" applyFont="1" applyFill="1"/>
    <xf numFmtId="166" fontId="18" fillId="8" borderId="0" xfId="0" applyNumberFormat="1" applyFont="1" applyFill="1" applyAlignment="1">
      <alignment horizontal="center"/>
    </xf>
    <xf numFmtId="170" fontId="18" fillId="8" borderId="0" xfId="0" applyNumberFormat="1" applyFont="1" applyFill="1" applyAlignment="1">
      <alignment horizontal="center"/>
    </xf>
    <xf numFmtId="170" fontId="18" fillId="9" borderId="0" xfId="0" applyNumberFormat="1" applyFont="1" applyFill="1" applyAlignment="1">
      <alignment horizontal="center"/>
    </xf>
    <xf numFmtId="0" fontId="17" fillId="15" borderId="0" xfId="5" applyFont="1" applyFill="1"/>
    <xf numFmtId="164" fontId="19" fillId="5" borderId="5" xfId="0" applyNumberFormat="1" applyFont="1" applyFill="1" applyBorder="1" applyAlignment="1">
      <alignment horizontal="right" vertical="top"/>
    </xf>
    <xf numFmtId="0" fontId="19" fillId="5" borderId="5" xfId="0" applyFont="1" applyFill="1" applyBorder="1" applyAlignment="1">
      <alignment horizontal="right" vertical="top" wrapText="1"/>
    </xf>
    <xf numFmtId="164" fontId="20" fillId="5" borderId="5" xfId="0" applyNumberFormat="1" applyFont="1" applyFill="1" applyBorder="1" applyAlignment="1">
      <alignment horizontal="right" vertical="top"/>
    </xf>
    <xf numFmtId="0" fontId="20" fillId="5" borderId="5" xfId="0" applyFont="1" applyFill="1" applyBorder="1" applyAlignment="1">
      <alignment horizontal="right" vertical="top" wrapText="1"/>
    </xf>
    <xf numFmtId="0" fontId="0" fillId="5" borderId="0" xfId="0" applyFill="1"/>
    <xf numFmtId="0" fontId="21" fillId="4" borderId="5" xfId="0" applyFont="1" applyFill="1" applyBorder="1" applyAlignment="1">
      <alignment horizontal="right" vertical="top" wrapText="1"/>
    </xf>
    <xf numFmtId="3" fontId="19" fillId="5" borderId="5" xfId="0" applyNumberFormat="1" applyFont="1" applyFill="1" applyBorder="1" applyAlignment="1">
      <alignment horizontal="right" vertical="top"/>
    </xf>
    <xf numFmtId="4" fontId="19" fillId="5" borderId="5" xfId="0" applyNumberFormat="1" applyFont="1" applyFill="1" applyBorder="1" applyAlignment="1">
      <alignment horizontal="right" vertical="top"/>
    </xf>
    <xf numFmtId="165" fontId="13" fillId="10" borderId="0" xfId="5" applyNumberFormat="1" applyFont="1" applyFill="1"/>
    <xf numFmtId="166" fontId="10" fillId="16" borderId="0" xfId="0" applyNumberFormat="1" applyFont="1" applyFill="1"/>
    <xf numFmtId="166" fontId="14" fillId="16" borderId="6" xfId="0" applyNumberFormat="1" applyFont="1" applyFill="1" applyBorder="1"/>
    <xf numFmtId="164" fontId="19" fillId="16" borderId="5" xfId="0" applyNumberFormat="1" applyFont="1" applyFill="1" applyBorder="1" applyAlignment="1">
      <alignment horizontal="right" vertical="top"/>
    </xf>
    <xf numFmtId="164" fontId="19" fillId="0" borderId="5" xfId="0" applyNumberFormat="1" applyFont="1" applyBorder="1" applyAlignment="1">
      <alignment horizontal="right" vertical="top"/>
    </xf>
    <xf numFmtId="164" fontId="20" fillId="16" borderId="5" xfId="0" applyNumberFormat="1" applyFont="1" applyFill="1" applyBorder="1" applyAlignment="1">
      <alignment horizontal="right" vertical="top"/>
    </xf>
    <xf numFmtId="0" fontId="17" fillId="15" borderId="9" xfId="5" applyFont="1" applyFill="1" applyBorder="1"/>
    <xf numFmtId="0" fontId="0" fillId="0" borderId="9" xfId="0" applyBorder="1"/>
    <xf numFmtId="166" fontId="10" fillId="0" borderId="9" xfId="0" applyNumberFormat="1" applyFont="1" applyBorder="1"/>
    <xf numFmtId="165" fontId="10" fillId="16" borderId="0" xfId="0" applyNumberFormat="1" applyFont="1" applyFill="1"/>
    <xf numFmtId="166" fontId="0" fillId="0" borderId="9" xfId="0" applyNumberFormat="1" applyBorder="1"/>
    <xf numFmtId="0" fontId="17" fillId="17" borderId="0" xfId="5" applyFont="1" applyFill="1"/>
    <xf numFmtId="0" fontId="10" fillId="10" borderId="0" xfId="0" applyFont="1" applyFill="1"/>
    <xf numFmtId="166" fontId="14" fillId="17" borderId="6" xfId="0" applyNumberFormat="1" applyFont="1" applyFill="1" applyBorder="1"/>
    <xf numFmtId="169" fontId="10" fillId="17" borderId="0" xfId="0" applyNumberFormat="1" applyFont="1" applyFill="1"/>
    <xf numFmtId="166" fontId="10" fillId="10" borderId="0" xfId="0" applyNumberFormat="1" applyFont="1" applyFill="1"/>
    <xf numFmtId="165" fontId="10" fillId="10" borderId="0" xfId="0" applyNumberFormat="1" applyFont="1" applyFill="1"/>
    <xf numFmtId="165" fontId="14" fillId="17" borderId="0" xfId="0" applyNumberFormat="1" applyFont="1" applyFill="1"/>
    <xf numFmtId="0" fontId="9" fillId="10" borderId="0" xfId="5" applyFont="1" applyFill="1"/>
    <xf numFmtId="0" fontId="10" fillId="10" borderId="7" xfId="0" applyFont="1" applyFill="1" applyBorder="1"/>
    <xf numFmtId="166" fontId="10" fillId="10" borderId="6" xfId="0" applyNumberFormat="1" applyFont="1" applyFill="1" applyBorder="1"/>
    <xf numFmtId="0" fontId="17" fillId="10" borderId="0" xfId="5" applyFont="1" applyFill="1"/>
    <xf numFmtId="170" fontId="18" fillId="10" borderId="0" xfId="0" applyNumberFormat="1" applyFont="1" applyFill="1" applyAlignment="1">
      <alignment horizontal="center"/>
    </xf>
    <xf numFmtId="166" fontId="18" fillId="10" borderId="0" xfId="0" applyNumberFormat="1" applyFont="1" applyFill="1" applyAlignment="1">
      <alignment horizontal="center"/>
    </xf>
    <xf numFmtId="0" fontId="0" fillId="8" borderId="9" xfId="0" applyFill="1" applyBorder="1"/>
    <xf numFmtId="166" fontId="10" fillId="8" borderId="9" xfId="0" applyNumberFormat="1" applyFont="1" applyFill="1" applyBorder="1"/>
    <xf numFmtId="166" fontId="18" fillId="12" borderId="0" xfId="0" applyNumberFormat="1" applyFont="1" applyFill="1" applyAlignment="1">
      <alignment horizontal="center"/>
    </xf>
    <xf numFmtId="0" fontId="19" fillId="12" borderId="5" xfId="0" applyFont="1" applyFill="1" applyBorder="1" applyAlignment="1">
      <alignment horizontal="right" vertical="top" wrapText="1"/>
    </xf>
  </cellXfs>
  <cellStyles count="8">
    <cellStyle name="Normal" xfId="0" builtinId="0"/>
    <cellStyle name="Normal 2" xfId="1" xr:uid="{D4405088-3E59-4EAB-9ABA-D59E79B6457C}"/>
    <cellStyle name="Normal 2 2" xfId="3" xr:uid="{0991DA92-2366-415B-9257-21B9E64D0BD0}"/>
    <cellStyle name="Normal 2 3" xfId="5" xr:uid="{4B6D7B87-6536-4D33-AED5-90B7EF0AEC67}"/>
    <cellStyle name="Normal 3" xfId="4" xr:uid="{1011DAB0-4388-4478-AE45-AA1B54DC030B}"/>
    <cellStyle name="Normal 4" xfId="7" xr:uid="{3579520C-BDFA-4260-AC6E-AD846ED594B6}"/>
    <cellStyle name="Normal 7" xfId="6" xr:uid="{C9786196-88D3-46A1-AE6F-D312618CD136}"/>
    <cellStyle name="Percent 2" xfId="2" xr:uid="{464826EA-694C-4D04-AC7C-376419EE1A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Net Working Capital (Days)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Ratios!$A$14</c:f>
              <c:strCache>
                <c:ptCount val="1"/>
                <c:pt idx="0">
                  <c:v>DPO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Ratios!$F$1:$I$1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Ratios!$F$14:$I$14</c:f>
              <c:numCache>
                <c:formatCode>#,##0;\(#,##0\);\-</c:formatCode>
                <c:ptCount val="4"/>
                <c:pt idx="0">
                  <c:v>125.43</c:v>
                </c:pt>
                <c:pt idx="1">
                  <c:v>118.55</c:v>
                </c:pt>
                <c:pt idx="2">
                  <c:v>149.77000000000001</c:v>
                </c:pt>
                <c:pt idx="3">
                  <c:v>123.15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2A-4AFC-A079-C58E0DCDF214}"/>
            </c:ext>
          </c:extLst>
        </c:ser>
        <c:ser>
          <c:idx val="1"/>
          <c:order val="1"/>
          <c:tx>
            <c:strRef>
              <c:f>Ratios!$A$15</c:f>
              <c:strCache>
                <c:ptCount val="1"/>
                <c:pt idx="0">
                  <c:v>DSO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Ratios!$F$1:$I$1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Ratios!$F$15:$I$15</c:f>
              <c:numCache>
                <c:formatCode>#,##0;\(#,##0\);\-</c:formatCode>
                <c:ptCount val="4"/>
                <c:pt idx="0">
                  <c:v>47.15</c:v>
                </c:pt>
                <c:pt idx="1">
                  <c:v>53.84</c:v>
                </c:pt>
                <c:pt idx="2">
                  <c:v>49.89</c:v>
                </c:pt>
                <c:pt idx="3">
                  <c:v>52.57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2A-4AFC-A079-C58E0DCDF214}"/>
            </c:ext>
          </c:extLst>
        </c:ser>
        <c:ser>
          <c:idx val="2"/>
          <c:order val="2"/>
          <c:tx>
            <c:strRef>
              <c:f>Ratios!$A$16</c:f>
              <c:strCache>
                <c:ptCount val="1"/>
                <c:pt idx="0">
                  <c:v>DIO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Ratios!$F$1:$I$1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Ratios!$F$16:$I$16</c:f>
              <c:numCache>
                <c:formatCode>#,##0;\(#,##0\);\-</c:formatCode>
                <c:ptCount val="4"/>
                <c:pt idx="0">
                  <c:v>199.57</c:v>
                </c:pt>
                <c:pt idx="1">
                  <c:v>241.66</c:v>
                </c:pt>
                <c:pt idx="2">
                  <c:v>211.12</c:v>
                </c:pt>
                <c:pt idx="3">
                  <c:v>194.1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2A-4AFC-A079-C58E0DCDF214}"/>
            </c:ext>
          </c:extLst>
        </c:ser>
        <c:ser>
          <c:idx val="3"/>
          <c:order val="3"/>
          <c:tx>
            <c:strRef>
              <c:f>Ratios!$A$17</c:f>
              <c:strCache>
                <c:ptCount val="1"/>
                <c:pt idx="0">
                  <c:v>Net Working Capital (days)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Ratios!$F$1:$I$1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Ratios!$F$17:$I$17</c:f>
              <c:numCache>
                <c:formatCode>#,##0;\(#,##0\);\-</c:formatCode>
                <c:ptCount val="4"/>
                <c:pt idx="0">
                  <c:v>121.28999999999999</c:v>
                </c:pt>
                <c:pt idx="1">
                  <c:v>176.95</c:v>
                </c:pt>
                <c:pt idx="2">
                  <c:v>111.23999999999998</c:v>
                </c:pt>
                <c:pt idx="3">
                  <c:v>123.51999999999998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2A-4AFC-A079-C58E0DCDF2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0273120"/>
        <c:axId val="869338927"/>
      </c:lineChart>
      <c:catAx>
        <c:axId val="94027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338927"/>
        <c:crosses val="autoZero"/>
        <c:auto val="1"/>
        <c:lblAlgn val="ctr"/>
        <c:lblOffset val="100"/>
        <c:noMultiLvlLbl val="0"/>
      </c:catAx>
      <c:valAx>
        <c:axId val="869338927"/>
        <c:scaling>
          <c:orientation val="minMax"/>
        </c:scaling>
        <c:delete val="1"/>
        <c:axPos val="l"/>
        <c:numFmt formatCode="#,##0;\(#,##0\);\-" sourceLinked="1"/>
        <c:majorTickMark val="none"/>
        <c:minorTickMark val="none"/>
        <c:tickLblPos val="nextTo"/>
        <c:crossAx val="94027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50799</xdr:rowOff>
    </xdr:from>
    <xdr:ext cx="9232900" cy="5203825"/>
    <xdr:pic>
      <xdr:nvPicPr>
        <xdr:cNvPr id="9" name="Image 77" descr="18201df0-d7b3-49dc-8f9b-dc6b81d8cca4.emf">
          <a:extLst>
            <a:ext uri="{FF2B5EF4-FFF2-40B4-BE49-F238E27FC236}">
              <a16:creationId xmlns:a16="http://schemas.microsoft.com/office/drawing/2014/main" id="{32CA6376-C388-4D7F-9F5A-FC9E5C3B3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799"/>
          <a:ext cx="9232900" cy="52038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296333</xdr:colOff>
      <xdr:row>1</xdr:row>
      <xdr:rowOff>46567</xdr:rowOff>
    </xdr:from>
    <xdr:to>
      <xdr:col>17</xdr:col>
      <xdr:colOff>14111</xdr:colOff>
      <xdr:row>16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52985F-34BD-82FD-CB8C-89EF1B9C4B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amza\Documents\MEM\THESIS\3.%20Analysis\CELLI%20SPA\Celli%20Financials.xlsx" TargetMode="External"/><Relationship Id="rId1" Type="http://schemas.openxmlformats.org/officeDocument/2006/relationships/externalLinkPath" Target="/Users/hamza/Documents/MEM/THESIS/3.%20Analysis/CELLI%20SPA/Celli%20Financi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lassified BS"/>
      <sheetName val="Profit&amp;Loss"/>
      <sheetName val="CashFlow"/>
      <sheetName val="Ratios"/>
      <sheetName val="Pool Bank Debt"/>
      <sheetName val="NetDebt"/>
      <sheetName val="AIDA"/>
    </sheetNames>
    <sheetDataSet>
      <sheetData sheetId="0">
        <row r="30">
          <cell r="A30" t="str">
            <v>Net Debt</v>
          </cell>
        </row>
      </sheetData>
      <sheetData sheetId="1">
        <row r="11">
          <cell r="A11" t="str">
            <v>EBITDA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37AED-11BE-4D5F-A0C4-76D2AB4E2B09}">
  <dimension ref="A1"/>
  <sheetViews>
    <sheetView workbookViewId="0">
      <selection activeCell="G9" sqref="G9"/>
    </sheetView>
  </sheetViews>
  <sheetFormatPr defaultRowHeight="14.5" x14ac:dyDescent="0.35"/>
  <sheetData>
    <row r="1" spans="1:1" x14ac:dyDescent="0.35">
      <c r="A1" t="s">
        <v>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2278F-5AB4-43B5-B204-32BF374587C9}">
  <dimension ref="A1"/>
  <sheetViews>
    <sheetView zoomScale="80" zoomScaleNormal="80" workbookViewId="0">
      <selection activeCell="R10" sqref="R10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2CC9B-EFF4-4BD2-9CCD-74B6B62EF501}">
  <dimension ref="A1:K18"/>
  <sheetViews>
    <sheetView workbookViewId="0">
      <selection activeCell="N11" sqref="N11"/>
    </sheetView>
  </sheetViews>
  <sheetFormatPr defaultRowHeight="14.5" x14ac:dyDescent="0.35"/>
  <sheetData>
    <row r="1" spans="1:11" x14ac:dyDescent="0.35">
      <c r="A1" s="100" t="s">
        <v>403</v>
      </c>
      <c r="B1" s="100"/>
      <c r="C1" s="100"/>
      <c r="D1" s="100">
        <v>2021</v>
      </c>
      <c r="E1" s="100">
        <v>2022</v>
      </c>
      <c r="F1" s="100">
        <v>2023</v>
      </c>
      <c r="G1" s="100">
        <v>2024</v>
      </c>
      <c r="H1" s="100">
        <v>2025</v>
      </c>
      <c r="I1" s="100">
        <v>2026</v>
      </c>
      <c r="J1" s="100">
        <v>2027</v>
      </c>
      <c r="K1" s="100">
        <v>2028</v>
      </c>
    </row>
    <row r="2" spans="1:11" x14ac:dyDescent="0.35">
      <c r="A2" s="100" t="s">
        <v>396</v>
      </c>
      <c r="B2" s="100"/>
      <c r="C2" s="100"/>
      <c r="D2" s="101"/>
      <c r="E2" s="101"/>
      <c r="F2" s="101"/>
      <c r="G2" s="101"/>
      <c r="H2" s="101"/>
      <c r="I2" s="101"/>
      <c r="J2" s="101"/>
      <c r="K2" s="101"/>
    </row>
    <row r="3" spans="1:11" x14ac:dyDescent="0.35">
      <c r="A3" s="101" t="s">
        <v>397</v>
      </c>
      <c r="B3" s="101"/>
      <c r="C3" s="101"/>
      <c r="D3" s="102">
        <v>8.0500000000000007</v>
      </c>
      <c r="E3" s="102">
        <v>-2.66</v>
      </c>
      <c r="F3" s="102">
        <v>-2.73</v>
      </c>
      <c r="G3" s="102">
        <v>-2.66</v>
      </c>
      <c r="H3" s="102">
        <v>0</v>
      </c>
      <c r="I3" s="102">
        <v>0</v>
      </c>
      <c r="J3" s="102">
        <v>0</v>
      </c>
      <c r="K3" s="102">
        <v>0</v>
      </c>
    </row>
    <row r="4" spans="1:11" x14ac:dyDescent="0.35">
      <c r="A4" s="101" t="s">
        <v>398</v>
      </c>
      <c r="B4" s="101"/>
      <c r="C4" s="101"/>
      <c r="D4" s="102">
        <v>8.0500000000000007</v>
      </c>
      <c r="E4" s="102">
        <v>-0.05</v>
      </c>
      <c r="F4" s="102">
        <v>-0.1</v>
      </c>
      <c r="G4" s="102">
        <v>-1.18</v>
      </c>
      <c r="H4" s="102">
        <v>-1.365</v>
      </c>
      <c r="I4" s="102">
        <v>-5.3550000000000004</v>
      </c>
      <c r="J4" s="102">
        <v>0</v>
      </c>
      <c r="K4" s="102">
        <v>0</v>
      </c>
    </row>
    <row r="5" spans="1:11" x14ac:dyDescent="0.35">
      <c r="A5" s="100" t="s">
        <v>399</v>
      </c>
      <c r="B5" s="100"/>
      <c r="C5" s="100"/>
      <c r="D5" s="101"/>
      <c r="E5" s="101"/>
      <c r="F5" s="101"/>
      <c r="G5" s="101"/>
      <c r="H5" s="101"/>
      <c r="I5" s="101"/>
      <c r="J5" s="102">
        <v>0</v>
      </c>
      <c r="K5" s="102">
        <v>0</v>
      </c>
    </row>
    <row r="6" spans="1:11" x14ac:dyDescent="0.35">
      <c r="A6" s="101" t="s">
        <v>397</v>
      </c>
      <c r="B6" s="101"/>
      <c r="C6" s="101"/>
      <c r="D6" s="102">
        <v>21</v>
      </c>
      <c r="E6" s="102">
        <v>0</v>
      </c>
      <c r="F6" s="102">
        <v>0</v>
      </c>
      <c r="G6" s="102">
        <v>0</v>
      </c>
      <c r="H6" s="102">
        <v>-21</v>
      </c>
      <c r="I6" s="102">
        <v>0</v>
      </c>
      <c r="J6" s="102">
        <v>0</v>
      </c>
      <c r="K6" s="102">
        <v>0</v>
      </c>
    </row>
    <row r="7" spans="1:11" x14ac:dyDescent="0.35">
      <c r="A7" s="101" t="s">
        <v>398</v>
      </c>
      <c r="B7" s="101"/>
      <c r="C7" s="101"/>
      <c r="D7" s="102">
        <v>21</v>
      </c>
      <c r="E7" s="102">
        <v>0</v>
      </c>
      <c r="F7" s="102">
        <v>0</v>
      </c>
      <c r="G7" s="102">
        <v>0</v>
      </c>
      <c r="H7" s="102">
        <v>0</v>
      </c>
      <c r="I7" s="102">
        <v>-21</v>
      </c>
      <c r="J7" s="102">
        <v>0</v>
      </c>
      <c r="K7" s="102">
        <v>0</v>
      </c>
    </row>
    <row r="8" spans="1:11" x14ac:dyDescent="0.35">
      <c r="A8" s="100" t="s">
        <v>401</v>
      </c>
      <c r="B8" s="100"/>
      <c r="C8" s="100"/>
      <c r="D8" s="101"/>
      <c r="E8" s="101"/>
      <c r="F8" s="101"/>
      <c r="G8" s="101"/>
      <c r="H8" s="101"/>
      <c r="I8" s="101"/>
      <c r="J8" s="102">
        <v>0</v>
      </c>
      <c r="K8" s="102">
        <v>0</v>
      </c>
    </row>
    <row r="9" spans="1:11" x14ac:dyDescent="0.35">
      <c r="A9" s="101" t="s">
        <v>397</v>
      </c>
      <c r="B9" s="101"/>
      <c r="C9" s="101"/>
      <c r="D9" s="102">
        <v>5</v>
      </c>
      <c r="E9" s="102">
        <v>0</v>
      </c>
      <c r="F9" s="102">
        <v>0</v>
      </c>
      <c r="G9" s="102">
        <v>-5</v>
      </c>
      <c r="H9" s="102">
        <v>0</v>
      </c>
      <c r="I9" s="102">
        <v>0</v>
      </c>
      <c r="J9" s="102">
        <v>0</v>
      </c>
      <c r="K9" s="102">
        <v>0</v>
      </c>
    </row>
    <row r="10" spans="1:11" x14ac:dyDescent="0.35">
      <c r="A10" s="101" t="s">
        <v>398</v>
      </c>
      <c r="B10" s="101"/>
      <c r="C10" s="101"/>
      <c r="D10" s="102">
        <v>5</v>
      </c>
      <c r="E10" s="102">
        <v>0</v>
      </c>
      <c r="F10" s="102">
        <v>0</v>
      </c>
      <c r="G10" s="102">
        <v>0</v>
      </c>
      <c r="H10" s="102">
        <v>0</v>
      </c>
      <c r="I10" s="102">
        <v>-5</v>
      </c>
      <c r="J10" s="102">
        <v>0</v>
      </c>
      <c r="K10" s="102">
        <v>0</v>
      </c>
    </row>
    <row r="11" spans="1:11" x14ac:dyDescent="0.35">
      <c r="A11" s="100" t="s">
        <v>402</v>
      </c>
      <c r="B11" s="100"/>
      <c r="C11" s="100"/>
      <c r="D11" s="101"/>
      <c r="E11" s="101"/>
      <c r="F11" s="101"/>
      <c r="G11" s="101"/>
      <c r="H11" s="101"/>
      <c r="I11" s="101"/>
      <c r="J11" s="102">
        <v>0</v>
      </c>
      <c r="K11" s="102">
        <v>0</v>
      </c>
    </row>
    <row r="12" spans="1:11" x14ac:dyDescent="0.35">
      <c r="A12" s="101" t="s">
        <v>397</v>
      </c>
      <c r="B12" s="101"/>
      <c r="C12" s="101"/>
      <c r="D12" s="102">
        <v>4.7</v>
      </c>
      <c r="E12" s="102">
        <v>-0.3</v>
      </c>
      <c r="F12" s="102">
        <v>-0.5</v>
      </c>
      <c r="G12" s="102">
        <v>-0.9</v>
      </c>
      <c r="H12" s="102">
        <v>-3</v>
      </c>
      <c r="I12" s="102">
        <v>0</v>
      </c>
      <c r="J12" s="102">
        <v>0</v>
      </c>
      <c r="K12" s="102">
        <v>0</v>
      </c>
    </row>
    <row r="13" spans="1:11" x14ac:dyDescent="0.35">
      <c r="A13" s="101" t="s">
        <v>398</v>
      </c>
      <c r="B13" s="101"/>
      <c r="C13" s="101"/>
      <c r="D13" s="102">
        <v>4.7</v>
      </c>
      <c r="E13" s="102">
        <v>0</v>
      </c>
      <c r="F13" s="102">
        <v>0</v>
      </c>
      <c r="G13" s="102">
        <v>-0.22500000000000001</v>
      </c>
      <c r="H13" s="102">
        <v>-0.375</v>
      </c>
      <c r="I13" s="102">
        <v>-4.0999999999999996</v>
      </c>
      <c r="J13" s="102">
        <v>0</v>
      </c>
      <c r="K13" s="102">
        <v>0</v>
      </c>
    </row>
    <row r="14" spans="1:11" x14ac:dyDescent="0.35">
      <c r="A14" s="100" t="s">
        <v>400</v>
      </c>
      <c r="B14" s="100"/>
      <c r="C14" s="100"/>
      <c r="D14" s="101"/>
      <c r="E14" s="101"/>
      <c r="F14" s="101"/>
      <c r="G14" s="101"/>
      <c r="H14" s="101"/>
      <c r="I14" s="101"/>
      <c r="J14" s="102">
        <v>0</v>
      </c>
      <c r="K14" s="102">
        <v>0</v>
      </c>
    </row>
    <row r="15" spans="1:11" x14ac:dyDescent="0.35">
      <c r="A15" s="101" t="s">
        <v>397</v>
      </c>
      <c r="B15" s="101"/>
      <c r="C15" s="101"/>
      <c r="D15" s="102">
        <v>7.6</v>
      </c>
      <c r="E15" s="102">
        <v>-0.47499999999999998</v>
      </c>
      <c r="F15" s="102">
        <v>-1.9</v>
      </c>
      <c r="G15" s="102">
        <v>-1.9</v>
      </c>
      <c r="H15" s="102">
        <v>-1.9</v>
      </c>
      <c r="I15" s="102">
        <v>-1.425</v>
      </c>
      <c r="J15" s="102">
        <v>0</v>
      </c>
      <c r="K15" s="102">
        <v>0</v>
      </c>
    </row>
    <row r="16" spans="1:11" x14ac:dyDescent="0.35">
      <c r="A16" s="101" t="s">
        <v>398</v>
      </c>
      <c r="B16" s="101"/>
      <c r="C16" s="101"/>
      <c r="D16" s="102">
        <v>7.6</v>
      </c>
      <c r="E16" s="102">
        <v>-0.317</v>
      </c>
      <c r="F16" s="102">
        <v>-1.2669999999999999</v>
      </c>
      <c r="G16" s="102">
        <v>-1.2669999999999999</v>
      </c>
      <c r="H16" s="102">
        <v>-1.2669999999999999</v>
      </c>
      <c r="I16" s="102">
        <v>-1.2669999999999999</v>
      </c>
      <c r="J16" s="102">
        <v>-1.2669999999999999</v>
      </c>
      <c r="K16" s="102">
        <v>-0.95</v>
      </c>
    </row>
    <row r="17" spans="1:11" x14ac:dyDescent="0.35">
      <c r="A17" s="100" t="s">
        <v>408</v>
      </c>
      <c r="B17" s="100"/>
      <c r="C17" s="100"/>
      <c r="D17" s="104">
        <f>SUM(D3,D6,D9,D12,D15)</f>
        <v>46.35</v>
      </c>
      <c r="E17" s="104">
        <f t="shared" ref="E17:K17" si="0">SUM(E3,E6,E9,E12,E15)</f>
        <v>-3.4350000000000001</v>
      </c>
      <c r="F17" s="104">
        <f t="shared" si="0"/>
        <v>-5.13</v>
      </c>
      <c r="G17" s="104">
        <f t="shared" si="0"/>
        <v>-10.46</v>
      </c>
      <c r="H17" s="104">
        <f t="shared" si="0"/>
        <v>-25.9</v>
      </c>
      <c r="I17" s="104">
        <f t="shared" si="0"/>
        <v>-1.425</v>
      </c>
      <c r="J17" s="104">
        <f t="shared" si="0"/>
        <v>0</v>
      </c>
      <c r="K17" s="104">
        <f t="shared" si="0"/>
        <v>0</v>
      </c>
    </row>
    <row r="18" spans="1:11" x14ac:dyDescent="0.35">
      <c r="A18" s="100" t="s">
        <v>409</v>
      </c>
      <c r="B18" s="100"/>
      <c r="C18" s="100"/>
      <c r="D18" s="104">
        <f>SUM(D4,D7,D10,D13,D16)</f>
        <v>46.35</v>
      </c>
      <c r="E18" s="104">
        <f t="shared" ref="E18:K18" si="1">SUM(E4,E7,E10,E13,E16)</f>
        <v>-0.36699999999999999</v>
      </c>
      <c r="F18" s="104">
        <f t="shared" si="1"/>
        <v>-1.367</v>
      </c>
      <c r="G18" s="104">
        <f t="shared" si="1"/>
        <v>-2.6719999999999997</v>
      </c>
      <c r="H18" s="104">
        <f t="shared" si="1"/>
        <v>-3.0069999999999997</v>
      </c>
      <c r="I18" s="104">
        <f t="shared" si="1"/>
        <v>-36.722000000000001</v>
      </c>
      <c r="J18" s="104">
        <f t="shared" si="1"/>
        <v>-1.2669999999999999</v>
      </c>
      <c r="K18" s="104">
        <f t="shared" si="1"/>
        <v>-0.95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3E5C2-5EB8-4CAA-929A-2B84257BDDDB}">
  <dimension ref="A1:I4"/>
  <sheetViews>
    <sheetView workbookViewId="0">
      <selection activeCell="L3" sqref="L3"/>
    </sheetView>
  </sheetViews>
  <sheetFormatPr defaultRowHeight="14.5" x14ac:dyDescent="0.35"/>
  <sheetData>
    <row r="1" spans="1:9" x14ac:dyDescent="0.35">
      <c r="A1" s="100"/>
      <c r="B1" s="100"/>
      <c r="C1" s="100"/>
      <c r="D1" s="100"/>
      <c r="E1" s="100">
        <v>2018</v>
      </c>
      <c r="F1" s="100">
        <v>2019</v>
      </c>
      <c r="G1" s="100">
        <v>2020</v>
      </c>
      <c r="H1" s="100">
        <v>2021</v>
      </c>
      <c r="I1" s="100">
        <v>2022</v>
      </c>
    </row>
    <row r="2" spans="1:9" x14ac:dyDescent="0.35">
      <c r="A2" s="101" t="str">
        <f>'[1]Reclassified BS'!A30</f>
        <v>Net Debt</v>
      </c>
      <c r="B2" s="101"/>
      <c r="C2" s="101"/>
      <c r="D2" s="102"/>
      <c r="E2" s="102">
        <f>'Reclassified BS'!E26</f>
        <v>-1.970316</v>
      </c>
      <c r="F2" s="102">
        <f>'Reclassified BS'!F26</f>
        <v>-36.151572000000002</v>
      </c>
      <c r="G2" s="102">
        <f>'Reclassified BS'!G26</f>
        <v>-43.151166999999994</v>
      </c>
      <c r="H2" s="102">
        <f>'Reclassified BS'!H26</f>
        <v>-46.039244000000004</v>
      </c>
      <c r="I2" s="102">
        <f>'Reclassified BS'!I26</f>
        <v>-47.341297000000004</v>
      </c>
    </row>
    <row r="3" spans="1:9" x14ac:dyDescent="0.35">
      <c r="A3" s="101" t="str">
        <f>'[1]Profit&amp;Loss'!A11</f>
        <v>EBITDA</v>
      </c>
      <c r="B3" s="101"/>
      <c r="C3" s="101"/>
      <c r="D3" s="102"/>
      <c r="E3" s="102">
        <f>'Profit&amp;Loss'!E11</f>
        <v>4.7046490000000034</v>
      </c>
      <c r="F3" s="102">
        <f>'Profit&amp;Loss'!F11</f>
        <v>5.3887560000000008</v>
      </c>
      <c r="G3" s="102">
        <f>'Profit&amp;Loss'!G11</f>
        <v>1.8740710000000007</v>
      </c>
      <c r="H3" s="102">
        <f>'Profit&amp;Loss'!H11</f>
        <v>1.1859080000000048</v>
      </c>
      <c r="I3" s="102">
        <f>'Profit&amp;Loss'!I11</f>
        <v>2.9741120000000123</v>
      </c>
    </row>
    <row r="4" spans="1:9" x14ac:dyDescent="0.35">
      <c r="A4" s="118" t="s">
        <v>375</v>
      </c>
      <c r="B4" s="118"/>
      <c r="C4" s="118"/>
      <c r="D4" s="119"/>
      <c r="E4" s="119">
        <f t="shared" ref="E4:I4" si="0">-(E2/E3)</f>
        <v>0.41880191274630657</v>
      </c>
      <c r="F4" s="119">
        <f t="shared" si="0"/>
        <v>6.7087045692920588</v>
      </c>
      <c r="G4" s="119">
        <f t="shared" si="0"/>
        <v>23.025364033699883</v>
      </c>
      <c r="H4" s="119">
        <f t="shared" si="0"/>
        <v>38.821935597027604</v>
      </c>
      <c r="I4" s="119">
        <f t="shared" si="0"/>
        <v>15.917792268751079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E063-4B9B-4B99-B1DD-BF794A02CE53}">
  <dimension ref="A1:K31"/>
  <sheetViews>
    <sheetView showGridLines="0" tabSelected="1" zoomScale="90" zoomScaleNormal="90" workbookViewId="0">
      <selection activeCell="J6" sqref="J6"/>
    </sheetView>
  </sheetViews>
  <sheetFormatPr defaultRowHeight="13" x14ac:dyDescent="0.3"/>
  <cols>
    <col min="1" max="8" width="9.6328125" style="25" customWidth="1"/>
    <col min="9" max="16384" width="8.7265625" style="25"/>
  </cols>
  <sheetData>
    <row r="1" spans="1:11" ht="14.5" customHeight="1" x14ac:dyDescent="0.3">
      <c r="A1" s="24" t="s">
        <v>391</v>
      </c>
      <c r="B1" s="24"/>
      <c r="C1" s="24"/>
      <c r="D1" s="24"/>
      <c r="E1" s="112">
        <v>2018</v>
      </c>
      <c r="F1" s="24">
        <v>2019</v>
      </c>
      <c r="G1" s="24">
        <v>2020</v>
      </c>
      <c r="H1" s="24">
        <v>2021</v>
      </c>
      <c r="I1" s="24">
        <v>2022</v>
      </c>
    </row>
    <row r="2" spans="1:11" ht="14.5" customHeight="1" x14ac:dyDescent="0.3">
      <c r="A2" s="26" t="s">
        <v>301</v>
      </c>
      <c r="B2" s="27"/>
      <c r="C2" s="27"/>
      <c r="D2" s="27"/>
      <c r="E2" s="113"/>
      <c r="F2" s="27"/>
      <c r="G2" s="27"/>
      <c r="H2" s="27"/>
      <c r="I2" s="27"/>
    </row>
    <row r="3" spans="1:11" ht="14.5" customHeight="1" x14ac:dyDescent="0.3">
      <c r="A3" s="28" t="s">
        <v>302</v>
      </c>
      <c r="B3" s="29"/>
      <c r="C3" s="29"/>
      <c r="D3" s="29"/>
      <c r="E3" s="109">
        <f>(+AIDA!E21)/(10^6)</f>
        <v>13.905138000000001</v>
      </c>
      <c r="F3" s="29">
        <f>(+AIDA!F21)/(10^6)</f>
        <v>16.282847</v>
      </c>
      <c r="G3" s="29">
        <f>(+AIDA!G21)/(10^6)</f>
        <v>21.846736</v>
      </c>
      <c r="H3" s="29">
        <f>(+AIDA!H21)/(10^6)</f>
        <v>19.722614</v>
      </c>
      <c r="I3" s="29">
        <f>(+AIDA!I21)/(10^6)</f>
        <v>17.825223999999999</v>
      </c>
    </row>
    <row r="4" spans="1:11" ht="14.5" customHeight="1" x14ac:dyDescent="0.3">
      <c r="A4" s="28" t="s">
        <v>303</v>
      </c>
      <c r="B4" s="29"/>
      <c r="C4" s="29"/>
      <c r="D4" s="29"/>
      <c r="E4" s="109">
        <f>(+AIDA!E10)/(10^6)</f>
        <v>109.966768</v>
      </c>
      <c r="F4" s="95">
        <f>(+AIDA!F10)/(10^6)</f>
        <v>94.353334000000004</v>
      </c>
      <c r="G4" s="29">
        <f>(+AIDA!G10)/(10^6)</f>
        <v>83.290993</v>
      </c>
      <c r="H4" s="29">
        <f>(+AIDA!H10)/(10^6)</f>
        <v>68.261982000000003</v>
      </c>
      <c r="I4" s="29">
        <f>(+AIDA!I10)/(10^6)</f>
        <v>58.230376999999997</v>
      </c>
      <c r="K4" s="25" t="s">
        <v>393</v>
      </c>
    </row>
    <row r="5" spans="1:11" ht="14.5" customHeight="1" x14ac:dyDescent="0.3">
      <c r="A5" s="28" t="s">
        <v>304</v>
      </c>
      <c r="B5" s="29"/>
      <c r="C5" s="29"/>
      <c r="D5" s="29"/>
      <c r="E5" s="109">
        <f>(+AIDA!E30)/(10^6)</f>
        <v>0.44636300000000001</v>
      </c>
      <c r="F5" s="29">
        <f>(+AIDA!F30)/(10^6)</f>
        <v>0.46827000000000002</v>
      </c>
      <c r="G5" s="29">
        <f>(+AIDA!G30)/(10^6)</f>
        <v>0.47321999999999997</v>
      </c>
      <c r="H5" s="29">
        <f>(+AIDA!H30)/(10^6)</f>
        <v>0.47180499999999997</v>
      </c>
      <c r="I5" s="29">
        <f>(+AIDA!I30)/(10^6)</f>
        <v>0.42935299999999998</v>
      </c>
    </row>
    <row r="6" spans="1:11" ht="14.5" customHeight="1" x14ac:dyDescent="0.3">
      <c r="A6" s="30" t="s">
        <v>385</v>
      </c>
      <c r="B6" s="31"/>
      <c r="C6" s="31"/>
      <c r="D6" s="31"/>
      <c r="E6" s="31">
        <f t="shared" ref="E6" si="0">+E5+E4+E3</f>
        <v>124.31826900000002</v>
      </c>
      <c r="F6" s="31">
        <f>+F5+F4+F3</f>
        <v>111.10445100000001</v>
      </c>
      <c r="G6" s="31">
        <f>+G5+G4+G3</f>
        <v>105.61094900000001</v>
      </c>
      <c r="H6" s="31">
        <f>+H5+H4+H3</f>
        <v>88.456401</v>
      </c>
      <c r="I6" s="31">
        <f>+I5+I4+I3</f>
        <v>76.484953999999988</v>
      </c>
    </row>
    <row r="7" spans="1:11" ht="14.5" customHeight="1" x14ac:dyDescent="0.3">
      <c r="A7" s="28" t="s">
        <v>305</v>
      </c>
      <c r="B7" s="29"/>
      <c r="C7" s="29"/>
      <c r="D7" s="29"/>
      <c r="E7" s="109">
        <f>(+AIDA!E57)/(10^6)</f>
        <v>8.9197469999999992</v>
      </c>
      <c r="F7" s="29">
        <f>(+AIDA!F57)/(10^6)</f>
        <v>8.9869810000000001</v>
      </c>
      <c r="G7" s="29">
        <f>(+AIDA!G57)/(10^6)</f>
        <v>10.517968</v>
      </c>
      <c r="H7" s="29">
        <f>(+AIDA!H57)/(10^6)</f>
        <v>12.840930999999999</v>
      </c>
      <c r="I7" s="29">
        <f>(+AIDA!I57)/(10^6)</f>
        <v>11.941024000000001</v>
      </c>
    </row>
    <row r="8" spans="1:11" ht="14.5" customHeight="1" x14ac:dyDescent="0.3">
      <c r="A8" s="28" t="s">
        <v>306</v>
      </c>
      <c r="B8" s="29"/>
      <c r="C8" s="29"/>
      <c r="D8" s="29"/>
      <c r="E8" s="109">
        <f>(+AIDA!E66+AIDA!E67)/(10^6)</f>
        <v>11.452989000000001</v>
      </c>
      <c r="F8" s="29">
        <f>(+AIDA!F66+AIDA!F67)/(10^6)</f>
        <v>7.9202649999999997</v>
      </c>
      <c r="G8" s="29">
        <f>(+AIDA!G66+AIDA!G67)/(10^6)</f>
        <v>7.9743019999999998</v>
      </c>
      <c r="H8" s="29">
        <f>(+AIDA!H66+AIDA!H67)/(10^6)</f>
        <v>8.3597479999999997</v>
      </c>
      <c r="I8" s="29">
        <f>(+AIDA!I66+AIDA!I67)/(10^6)</f>
        <v>9.980219</v>
      </c>
    </row>
    <row r="9" spans="1:11" ht="14.5" customHeight="1" x14ac:dyDescent="0.3">
      <c r="A9" s="28" t="s">
        <v>307</v>
      </c>
      <c r="B9" s="29"/>
      <c r="C9" s="29"/>
      <c r="D9" s="29"/>
      <c r="E9" s="109">
        <f>(-AIDA!E161-AIDA!E162)/(10^6)</f>
        <v>-12.858534000000001</v>
      </c>
      <c r="F9" s="29">
        <f>(-AIDA!F161-AIDA!F162)/(10^6)</f>
        <v>-13.225109</v>
      </c>
      <c r="G9" s="29">
        <f>(-AIDA!G161-AIDA!G162)/(10^6)</f>
        <v>-11.602690000000001</v>
      </c>
      <c r="H9" s="95">
        <f>(-AIDA!H161-AIDA!H162)/(10^6)</f>
        <v>-17.881385000000002</v>
      </c>
      <c r="I9" s="29">
        <f>(-AIDA!I161-AIDA!I162)/(10^6)</f>
        <v>-15.903684999999999</v>
      </c>
    </row>
    <row r="10" spans="1:11" ht="14.5" customHeight="1" x14ac:dyDescent="0.3">
      <c r="A10" s="28" t="s">
        <v>308</v>
      </c>
      <c r="B10" s="29"/>
      <c r="C10" s="29"/>
      <c r="D10" s="29"/>
      <c r="E10" s="109">
        <f>(-AIDA!E159-AIDA!E160)/(10^6)</f>
        <v>-1.2052989999999999</v>
      </c>
      <c r="F10" s="29">
        <f>(-AIDA!F159-AIDA!F160)/(10^6)</f>
        <v>-0.45789800000000003</v>
      </c>
      <c r="G10" s="29">
        <f>(-AIDA!G159-AIDA!G160)/(10^6)</f>
        <v>-0.50555300000000003</v>
      </c>
      <c r="H10" s="29">
        <f>(-AIDA!H159-AIDA!H160)/(10^6)</f>
        <v>-0.16500799999999999</v>
      </c>
      <c r="I10" s="29">
        <f>(-AIDA!I159-AIDA!I160)/(10^6)</f>
        <v>-0.190523</v>
      </c>
    </row>
    <row r="11" spans="1:11" ht="14.5" customHeight="1" x14ac:dyDescent="0.3">
      <c r="A11" s="32" t="s">
        <v>386</v>
      </c>
      <c r="B11" s="33"/>
      <c r="C11" s="33"/>
      <c r="D11" s="33"/>
      <c r="E11" s="31">
        <f>+E10+E9+E8+E7</f>
        <v>6.308902999999999</v>
      </c>
      <c r="F11" s="33">
        <f>+F10+F9+F8+F7</f>
        <v>3.2242389999999999</v>
      </c>
      <c r="G11" s="33">
        <f>+G10+G9+G8+G7</f>
        <v>6.3840269999999979</v>
      </c>
      <c r="H11" s="33">
        <f>+H10+H9+H8+H7</f>
        <v>3.1542859999999973</v>
      </c>
      <c r="I11" s="96">
        <f>+I10+I9+I8+I7</f>
        <v>5.8270350000000022</v>
      </c>
    </row>
    <row r="12" spans="1:11" ht="14.5" customHeight="1" x14ac:dyDescent="0.3">
      <c r="A12" s="28" t="s">
        <v>309</v>
      </c>
      <c r="B12" s="29"/>
      <c r="C12" s="29"/>
      <c r="D12" s="29"/>
      <c r="E12" s="109">
        <f>(+AIDA!E86+AIDA!E65-AIDA!E66-AIDA!E67)/(10^6)</f>
        <v>2.9864459999999999</v>
      </c>
      <c r="F12" s="29">
        <f>(+AIDA!F86+AIDA!F65-AIDA!F66-AIDA!F67)/(10^6)</f>
        <v>5.2739190000000002</v>
      </c>
      <c r="G12" s="29">
        <f>(+AIDA!G86+AIDA!G65-AIDA!G66-AIDA!G67)/(10^6)</f>
        <v>6.0342770000000003</v>
      </c>
      <c r="H12" s="29">
        <f>(+AIDA!H86+AIDA!H65-AIDA!H66-AIDA!H67)/(10^6)</f>
        <v>6.679449</v>
      </c>
      <c r="I12" s="29">
        <f>(+AIDA!I86+AIDA!I65-AIDA!I66-AIDA!I67)/(10^6)</f>
        <v>8.4819259999999996</v>
      </c>
    </row>
    <row r="13" spans="1:11" ht="14.5" customHeight="1" x14ac:dyDescent="0.3">
      <c r="A13" s="28" t="s">
        <v>310</v>
      </c>
      <c r="B13" s="29"/>
      <c r="C13" s="29"/>
      <c r="D13" s="29"/>
      <c r="E13" s="109">
        <f>+(-AIDA!E148+SUM(AIDA!E149:E162))/(10^6)</f>
        <v>-4.3155729999999997</v>
      </c>
      <c r="F13" s="29">
        <f>+(-AIDA!F148+SUM(AIDA!F149:F162))/(10^6)</f>
        <v>-4.2591570000000001</v>
      </c>
      <c r="G13" s="29">
        <f>+(-AIDA!G148+SUM(AIDA!G149:G162))/(10^6)</f>
        <v>-4.293317</v>
      </c>
      <c r="H13" s="29">
        <f>+(-AIDA!H148+SUM(AIDA!H149:H162))/(10^6)</f>
        <v>-3.4849009999999998</v>
      </c>
      <c r="I13" s="29">
        <f>+(-AIDA!I148+SUM(AIDA!I149:I162))/(10^6)</f>
        <v>-3.093429</v>
      </c>
    </row>
    <row r="14" spans="1:11" ht="14.5" customHeight="1" x14ac:dyDescent="0.3">
      <c r="A14" s="34" t="s">
        <v>387</v>
      </c>
      <c r="B14" s="33"/>
      <c r="C14" s="33"/>
      <c r="D14" s="33"/>
      <c r="E14" s="31">
        <f>+E13+E12</f>
        <v>-1.3291269999999997</v>
      </c>
      <c r="F14" s="33">
        <f>+F13+F12</f>
        <v>1.0147620000000002</v>
      </c>
      <c r="G14" s="33">
        <f>+G13+G12</f>
        <v>1.7409600000000003</v>
      </c>
      <c r="H14" s="33">
        <f>+H13+H12</f>
        <v>3.1945480000000002</v>
      </c>
      <c r="I14" s="33">
        <f>+I13+I12</f>
        <v>5.3884969999999992</v>
      </c>
    </row>
    <row r="15" spans="1:11" ht="14.5" customHeight="1" x14ac:dyDescent="0.3">
      <c r="A15" s="94" t="s">
        <v>388</v>
      </c>
      <c r="B15" s="31"/>
      <c r="C15" s="31"/>
      <c r="D15" s="31"/>
      <c r="E15" s="31">
        <f>+E14+E11</f>
        <v>4.9797759999999993</v>
      </c>
      <c r="F15" s="31">
        <f>+F14+F11</f>
        <v>4.239001</v>
      </c>
      <c r="G15" s="31">
        <f>+G14+G11</f>
        <v>8.1249869999999973</v>
      </c>
      <c r="H15" s="31">
        <f>+H14+H11</f>
        <v>6.3488339999999974</v>
      </c>
      <c r="I15" s="31">
        <f>+I14+I11</f>
        <v>11.215532000000001</v>
      </c>
    </row>
    <row r="16" spans="1:11" ht="14.5" customHeight="1" x14ac:dyDescent="0.3">
      <c r="A16" s="28" t="s">
        <v>311</v>
      </c>
      <c r="B16" s="29"/>
      <c r="C16" s="29"/>
      <c r="D16" s="29"/>
      <c r="E16" s="109">
        <f>(-AIDA!E144)/(10^6)</f>
        <v>-1.1733560000000001</v>
      </c>
      <c r="F16" s="29">
        <f>(-AIDA!F144)/(10^6)</f>
        <v>-1.090778</v>
      </c>
      <c r="G16" s="29">
        <f>(-AIDA!G144)/(10^6)</f>
        <v>-0.99046400000000001</v>
      </c>
      <c r="H16" s="29">
        <f>(-AIDA!H144)/(10^6)</f>
        <v>-0.97852499999999998</v>
      </c>
      <c r="I16" s="29">
        <f>(-AIDA!I144)/(10^6)</f>
        <v>-0.89661599999999997</v>
      </c>
    </row>
    <row r="17" spans="1:11" ht="14.5" customHeight="1" x14ac:dyDescent="0.3">
      <c r="A17" s="28" t="s">
        <v>312</v>
      </c>
      <c r="B17" s="29"/>
      <c r="C17" s="29"/>
      <c r="D17" s="29"/>
      <c r="E17" s="109">
        <f>(-AIDA!E137)/(10^6)</f>
        <v>-0.23100000000000001</v>
      </c>
      <c r="F17" s="29">
        <f>(-AIDA!F137)/(10^6)</f>
        <v>-1.4769829999999999</v>
      </c>
      <c r="G17" s="29">
        <f>(-AIDA!G137)/(10^6)</f>
        <v>-0.76050099999999998</v>
      </c>
      <c r="H17" s="29">
        <f>(-AIDA!H137)/(10^6)</f>
        <v>-0.65148799999999996</v>
      </c>
      <c r="I17" s="29">
        <f>(-AIDA!I137)/(10^6)</f>
        <v>-0.56374199999999997</v>
      </c>
    </row>
    <row r="18" spans="1:11" ht="14.5" customHeight="1" x14ac:dyDescent="0.3">
      <c r="A18" s="28" t="s">
        <v>313</v>
      </c>
      <c r="B18" s="29"/>
      <c r="C18" s="29"/>
      <c r="D18" s="29"/>
      <c r="E18" s="109">
        <f>+(AIDA!E103-AIDA!E185)/10^6</f>
        <v>-0.28771000000000002</v>
      </c>
      <c r="F18" s="29">
        <f>+(AIDA!F103-AIDA!F185)/10^6</f>
        <v>0.89627599999999996</v>
      </c>
      <c r="G18" s="29">
        <f>+(AIDA!G103-AIDA!G185)/10^6</f>
        <v>0.567967</v>
      </c>
      <c r="H18" s="29">
        <f>+(AIDA!H103-AIDA!H185)/10^6</f>
        <v>0.55978600000000001</v>
      </c>
      <c r="I18" s="29">
        <f>+(AIDA!I103-AIDA!I185)/10^6</f>
        <v>0.64739100000000005</v>
      </c>
    </row>
    <row r="19" spans="1:11" ht="14.5" customHeight="1" x14ac:dyDescent="0.3">
      <c r="A19" s="30" t="s">
        <v>389</v>
      </c>
      <c r="B19" s="31"/>
      <c r="C19" s="31"/>
      <c r="D19" s="31"/>
      <c r="E19" s="31">
        <f>+E18+E17+E16</f>
        <v>-1.6920660000000001</v>
      </c>
      <c r="F19" s="31">
        <f>+F18+F17+F16</f>
        <v>-1.6714850000000001</v>
      </c>
      <c r="G19" s="31">
        <f>+G18+G17+G16</f>
        <v>-1.182998</v>
      </c>
      <c r="H19" s="31">
        <f>+H18+H17+H16</f>
        <v>-1.070227</v>
      </c>
      <c r="I19" s="31">
        <f>+I18+I17+I16</f>
        <v>-0.81296699999999988</v>
      </c>
    </row>
    <row r="20" spans="1:11" ht="14.5" customHeight="1" x14ac:dyDescent="0.3">
      <c r="A20" s="35" t="s">
        <v>390</v>
      </c>
      <c r="B20" s="36"/>
      <c r="C20" s="36"/>
      <c r="D20" s="36"/>
      <c r="E20" s="114">
        <f>+E19+E15+E6</f>
        <v>127.60597900000002</v>
      </c>
      <c r="F20" s="36">
        <f>+F19+F15+F6</f>
        <v>113.67196700000001</v>
      </c>
      <c r="G20" s="36">
        <f>+G19+G15+G6</f>
        <v>112.552938</v>
      </c>
      <c r="H20" s="36">
        <f>+H19+H15+H6</f>
        <v>93.735007999999993</v>
      </c>
      <c r="I20" s="36">
        <f>+I19+I15+I6</f>
        <v>86.887518999999983</v>
      </c>
    </row>
    <row r="21" spans="1:11" ht="14.5" customHeight="1" x14ac:dyDescent="0.3">
      <c r="A21" s="28" t="s">
        <v>314</v>
      </c>
      <c r="B21" s="29"/>
      <c r="C21" s="29"/>
      <c r="D21" s="29"/>
      <c r="E21" s="109">
        <f>+AIDA!E98/10^6</f>
        <v>1.547345</v>
      </c>
      <c r="F21" s="29">
        <f>+AIDA!F98/10^6</f>
        <v>5.374403</v>
      </c>
      <c r="G21" s="29">
        <f>+AIDA!G98/10^6</f>
        <v>7.1699310000000001</v>
      </c>
      <c r="H21" s="29">
        <f>+AIDA!H98/10^6</f>
        <v>3.1372680000000002</v>
      </c>
      <c r="I21" s="29">
        <f>+AIDA!I98/10^6</f>
        <v>7.8299940000000001</v>
      </c>
    </row>
    <row r="22" spans="1:11" ht="14.5" customHeight="1" x14ac:dyDescent="0.3">
      <c r="A22" s="28" t="s">
        <v>315</v>
      </c>
      <c r="B22" s="29"/>
      <c r="C22" s="29"/>
      <c r="D22" s="29"/>
      <c r="E22" s="109">
        <f>-(AIDA!E155-AIDA!E151-AIDA!E149)/10^6</f>
        <v>-3.2018939999999998</v>
      </c>
      <c r="F22" s="29">
        <f>-(AIDA!F155-AIDA!F151-AIDA!F149)/10^6</f>
        <v>-7.700393</v>
      </c>
      <c r="G22" s="29">
        <f>-(AIDA!G155-AIDA!G151-AIDA!G149)/10^6</f>
        <v>-7.8516680000000001</v>
      </c>
      <c r="H22" s="29">
        <f>-(AIDA!H155-AIDA!H151-AIDA!H149)/10^6</f>
        <v>-10.314899</v>
      </c>
      <c r="I22" s="29">
        <f>-(AIDA!I155-AIDA!I151-AIDA!I149)/10^6</f>
        <v>-13.746316</v>
      </c>
    </row>
    <row r="23" spans="1:11" ht="14.5" customHeight="1" x14ac:dyDescent="0.3">
      <c r="A23" s="28" t="s">
        <v>316</v>
      </c>
      <c r="B23" s="29"/>
      <c r="C23" s="29"/>
      <c r="D23" s="29"/>
      <c r="E23" s="109">
        <f>+(-AIDA!E156-AIDA!E150-AIDA!E154)/10^6</f>
        <v>0</v>
      </c>
      <c r="F23" s="29">
        <f>+(-AIDA!F156-AIDA!F150-AIDA!F154)/10^6</f>
        <v>-33.685954000000002</v>
      </c>
      <c r="G23" s="29">
        <f>+(-AIDA!G156-AIDA!G150-AIDA!G154)/10^6</f>
        <v>-41.917262999999998</v>
      </c>
      <c r="H23" s="29">
        <f>+(-AIDA!H156-AIDA!H150-AIDA!H154)/10^6</f>
        <v>-38.441338999999999</v>
      </c>
      <c r="I23" s="95">
        <f>+(-AIDA!I156-AIDA!I150-AIDA!I154)/10^6</f>
        <v>-41.026206000000002</v>
      </c>
      <c r="K23" s="25" t="s">
        <v>394</v>
      </c>
    </row>
    <row r="24" spans="1:11" ht="14.5" customHeight="1" x14ac:dyDescent="0.3">
      <c r="A24" s="28" t="s">
        <v>317</v>
      </c>
      <c r="B24" s="29"/>
      <c r="C24" s="29"/>
      <c r="D24" s="29"/>
      <c r="E24" s="109">
        <f>+(-AIDA!E157)/10^6</f>
        <v>-0.31576700000000002</v>
      </c>
      <c r="F24" s="29">
        <f>+(-AIDA!F157)/10^6</f>
        <v>-0.139628</v>
      </c>
      <c r="G24" s="29">
        <f>+(-AIDA!G157)/10^6</f>
        <v>-0.55216699999999996</v>
      </c>
      <c r="H24" s="29">
        <f>+(-AIDA!H157)/10^6</f>
        <v>-6.0274000000000001E-2</v>
      </c>
      <c r="I24" s="29">
        <f>+(-AIDA!I157)/10^6</f>
        <v>-3.8768999999999998E-2</v>
      </c>
    </row>
    <row r="25" spans="1:11" ht="14.5" customHeight="1" x14ac:dyDescent="0.3">
      <c r="A25" s="28" t="s">
        <v>318</v>
      </c>
      <c r="B25" s="29"/>
      <c r="C25" s="29"/>
      <c r="D25" s="29"/>
      <c r="E25" s="109">
        <f>+(-AIDA!E158)/10^6</f>
        <v>0</v>
      </c>
      <c r="F25" s="29">
        <f>+(-AIDA!F158)/10^6</f>
        <v>0</v>
      </c>
      <c r="G25" s="29">
        <f>+(-AIDA!G158)/10^6</f>
        <v>0</v>
      </c>
      <c r="H25" s="29">
        <f>+(-AIDA!H158)/10^6</f>
        <v>-0.36</v>
      </c>
      <c r="I25" s="29">
        <f>+(-AIDA!I158)/10^6</f>
        <v>-0.36</v>
      </c>
    </row>
    <row r="26" spans="1:11" ht="14.5" customHeight="1" x14ac:dyDescent="0.3">
      <c r="A26" s="35" t="s">
        <v>364</v>
      </c>
      <c r="B26" s="36"/>
      <c r="C26" s="36"/>
      <c r="D26" s="36"/>
      <c r="E26" s="114">
        <f>+E25+E24+E23+E22+E21</f>
        <v>-1.970316</v>
      </c>
      <c r="F26" s="36">
        <f>+F25+F24+F23+F22+F21</f>
        <v>-36.151572000000002</v>
      </c>
      <c r="G26" s="36">
        <f>+G25+G24+G23+G22+G21</f>
        <v>-43.151166999999994</v>
      </c>
      <c r="H26" s="36">
        <f>+H25+H24+H23+H22+H21</f>
        <v>-46.039244000000004</v>
      </c>
      <c r="I26" s="36">
        <f>+I25+I24+I23+I22+I21</f>
        <v>-47.341297000000004</v>
      </c>
    </row>
    <row r="27" spans="1:11" ht="14.5" customHeight="1" x14ac:dyDescent="0.3">
      <c r="A27" s="37" t="s">
        <v>365</v>
      </c>
      <c r="B27" s="38"/>
      <c r="C27" s="38"/>
      <c r="D27" s="38"/>
      <c r="E27" s="109">
        <f>-E26/'Profit&amp;Loss'!E11</f>
        <v>0.41880191274630657</v>
      </c>
      <c r="F27" s="38">
        <f>-F26/'Profit&amp;Loss'!F11</f>
        <v>6.7087045692920588</v>
      </c>
      <c r="G27" s="38">
        <f>-G26/'Profit&amp;Loss'!G11</f>
        <v>23.025364033699883</v>
      </c>
      <c r="H27" s="38">
        <f>-H26/'Profit&amp;Loss'!H11</f>
        <v>38.821935597027604</v>
      </c>
      <c r="I27" s="38">
        <f>-I26/'Profit&amp;Loss'!I11</f>
        <v>15.917792268751079</v>
      </c>
    </row>
    <row r="28" spans="1:11" ht="14.5" customHeight="1" x14ac:dyDescent="0.3">
      <c r="A28" s="28" t="s">
        <v>319</v>
      </c>
      <c r="B28" s="29"/>
      <c r="C28" s="29"/>
      <c r="D28" s="29"/>
      <c r="E28" s="109">
        <f>+(-AIDA!E112-AIDA!E153-AIDA!E154)/10^6</f>
        <v>-125.63566299999999</v>
      </c>
      <c r="F28" s="29">
        <f>+(-AIDA!F112-AIDA!F153-AIDA!F154)/10^6</f>
        <v>-77.520394999999994</v>
      </c>
      <c r="G28" s="29">
        <f>+(-AIDA!G112-AIDA!G153-AIDA!G154)/10^6</f>
        <v>-69.401770999999997</v>
      </c>
      <c r="H28" s="29">
        <f>+(-AIDA!H112-AIDA!H153-AIDA!H154)/10^6</f>
        <v>-47.695763999999997</v>
      </c>
      <c r="I28" s="95">
        <f>+(-AIDA!I112-AIDA!I153-AIDA!I154)/10^6</f>
        <v>-39.546222</v>
      </c>
      <c r="K28" s="25" t="s">
        <v>395</v>
      </c>
    </row>
    <row r="29" spans="1:11" ht="14.5" customHeight="1" x14ac:dyDescent="0.3">
      <c r="A29" s="35" t="s">
        <v>320</v>
      </c>
      <c r="B29" s="36"/>
      <c r="C29" s="36"/>
      <c r="D29" s="36"/>
      <c r="E29" s="114">
        <f>+E28+E26</f>
        <v>-127.60597899999999</v>
      </c>
      <c r="F29" s="36">
        <f>+F28+F26</f>
        <v>-113.671967</v>
      </c>
      <c r="G29" s="36">
        <f>+G28+G26</f>
        <v>-112.55293799999998</v>
      </c>
      <c r="H29" s="36">
        <f>+H28+H26</f>
        <v>-93.735007999999993</v>
      </c>
      <c r="I29" s="36">
        <f>+I28+I26</f>
        <v>-86.887518999999998</v>
      </c>
    </row>
    <row r="31" spans="1:11" x14ac:dyDescent="0.3">
      <c r="A31" s="39" t="s">
        <v>321</v>
      </c>
      <c r="E31" s="40">
        <f>+E29+E20</f>
        <v>0</v>
      </c>
      <c r="F31" s="29">
        <f>+F29+F20</f>
        <v>0</v>
      </c>
      <c r="G31" s="29">
        <f>+G29+G20</f>
        <v>0</v>
      </c>
      <c r="H31" s="29">
        <f>+H29+H20</f>
        <v>0</v>
      </c>
      <c r="I31" s="41">
        <f>+I29+I20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9DC86-F239-4E1D-8888-C294A92B1982}">
  <dimension ref="A1:K29"/>
  <sheetViews>
    <sheetView showGridLines="0" zoomScale="90" zoomScaleNormal="90" workbookViewId="0">
      <selection activeCell="N8" sqref="N8"/>
    </sheetView>
  </sheetViews>
  <sheetFormatPr defaultRowHeight="14.5" customHeight="1" x14ac:dyDescent="0.3"/>
  <cols>
    <col min="1" max="9" width="9.6328125" style="25" customWidth="1"/>
    <col min="10" max="16384" width="8.7265625" style="25"/>
  </cols>
  <sheetData>
    <row r="1" spans="1:11" ht="14.5" customHeight="1" x14ac:dyDescent="0.3">
      <c r="A1" s="85" t="s">
        <v>384</v>
      </c>
      <c r="B1" s="85"/>
      <c r="C1" s="85"/>
      <c r="D1" s="85"/>
      <c r="E1" s="105">
        <v>2018</v>
      </c>
      <c r="F1" s="85">
        <v>2019</v>
      </c>
      <c r="G1" s="85">
        <v>2020</v>
      </c>
      <c r="H1" s="85">
        <v>2021</v>
      </c>
      <c r="I1" s="85">
        <v>2022</v>
      </c>
    </row>
    <row r="2" spans="1:11" ht="14.5" customHeight="1" x14ac:dyDescent="0.3">
      <c r="A2" s="42" t="s">
        <v>301</v>
      </c>
      <c r="E2" s="106"/>
    </row>
    <row r="3" spans="1:11" ht="14.5" customHeight="1" x14ac:dyDescent="0.3">
      <c r="A3" s="43" t="s">
        <v>322</v>
      </c>
      <c r="B3" s="44"/>
      <c r="C3" s="44"/>
      <c r="D3" s="44"/>
      <c r="E3" s="107">
        <f>+AIDA!E198/10^6</f>
        <v>26.558581</v>
      </c>
      <c r="F3" s="45">
        <f>+AIDA!F198/10^6</f>
        <v>62.013914</v>
      </c>
      <c r="G3" s="45">
        <f>+AIDA!G198/10^6</f>
        <v>55.284160999999997</v>
      </c>
      <c r="H3" s="45">
        <f>+AIDA!H198/10^6</f>
        <v>63.345878999999996</v>
      </c>
      <c r="I3" s="45">
        <f>+AIDA!I198/10^6</f>
        <v>68.250842000000006</v>
      </c>
      <c r="K3" s="25" t="s">
        <v>407</v>
      </c>
    </row>
    <row r="4" spans="1:11" ht="14.5" customHeight="1" x14ac:dyDescent="0.3">
      <c r="A4" s="46" t="s">
        <v>323</v>
      </c>
      <c r="B4" s="47"/>
      <c r="C4" s="47"/>
      <c r="D4" s="47"/>
      <c r="E4" s="108" t="str">
        <f>IFERROR(+E3/#REF!-1,"")</f>
        <v/>
      </c>
      <c r="F4" s="48">
        <f t="shared" ref="F4:I4" si="0">IFERROR(+F3/E3-1,"")</f>
        <v>1.3349859693181649</v>
      </c>
      <c r="G4" s="48">
        <f t="shared" si="0"/>
        <v>-0.10852004922637204</v>
      </c>
      <c r="H4" s="48">
        <f t="shared" si="0"/>
        <v>0.14582328562424962</v>
      </c>
      <c r="I4" s="48">
        <f t="shared" si="0"/>
        <v>7.7431445856170233E-2</v>
      </c>
    </row>
    <row r="5" spans="1:11" ht="14.5" customHeight="1" x14ac:dyDescent="0.3">
      <c r="A5" s="49" t="s">
        <v>324</v>
      </c>
      <c r="E5" s="109">
        <f>-(+AIDA!E208/10^6+AIDA!E224/10^6)</f>
        <v>-6.4200559999999998</v>
      </c>
      <c r="F5" s="29">
        <f>-(+AIDA!F208/10^6+AIDA!F224/10^6)</f>
        <v>-16.436522</v>
      </c>
      <c r="G5" s="29">
        <f>-(+AIDA!G208/10^6+AIDA!G224/10^6)</f>
        <v>-15.885982</v>
      </c>
      <c r="H5" s="95">
        <f>-(+AIDA!H208/10^6+AIDA!H224/10^6)</f>
        <v>-22.200353</v>
      </c>
      <c r="I5" s="29">
        <f>-(+AIDA!I208/10^6+AIDA!I224/10^6)</f>
        <v>-22.454832999999997</v>
      </c>
    </row>
    <row r="6" spans="1:11" ht="14.5" customHeight="1" x14ac:dyDescent="0.3">
      <c r="A6" s="43" t="s">
        <v>325</v>
      </c>
      <c r="B6" s="44"/>
      <c r="C6" s="44"/>
      <c r="D6" s="44"/>
      <c r="E6" s="107">
        <f>+E5+E3</f>
        <v>20.138525000000001</v>
      </c>
      <c r="F6" s="45">
        <f>+F5+F3</f>
        <v>45.577392000000003</v>
      </c>
      <c r="G6" s="45">
        <f>+G5+G3</f>
        <v>39.398178999999999</v>
      </c>
      <c r="H6" s="45">
        <f>+H5+H3</f>
        <v>41.145525999999997</v>
      </c>
      <c r="I6" s="45">
        <f>+I5+I3</f>
        <v>45.796009000000012</v>
      </c>
    </row>
    <row r="7" spans="1:11" ht="14.5" customHeight="1" x14ac:dyDescent="0.3">
      <c r="A7" s="50" t="s">
        <v>326</v>
      </c>
      <c r="B7" s="47"/>
      <c r="C7" s="47"/>
      <c r="D7" s="47"/>
      <c r="E7" s="108">
        <f t="shared" ref="E7:I7" si="1">+E6/E$3</f>
        <v>0.75826810927888055</v>
      </c>
      <c r="F7" s="48">
        <f t="shared" si="1"/>
        <v>0.7349542878393388</v>
      </c>
      <c r="G7" s="48">
        <f t="shared" si="1"/>
        <v>0.71264858301819933</v>
      </c>
      <c r="H7" s="48">
        <f t="shared" si="1"/>
        <v>0.64953753345186038</v>
      </c>
      <c r="I7" s="48">
        <f t="shared" si="1"/>
        <v>0.67099551680256209</v>
      </c>
    </row>
    <row r="8" spans="1:11" ht="14.5" customHeight="1" x14ac:dyDescent="0.3">
      <c r="A8" s="49" t="s">
        <v>327</v>
      </c>
      <c r="E8" s="109">
        <f>-AIDA!E211/10^6</f>
        <v>-6.3629439999999997</v>
      </c>
      <c r="F8" s="29">
        <f>-AIDA!F211/10^6</f>
        <v>-18.082422000000001</v>
      </c>
      <c r="G8" s="29">
        <f>-AIDA!G211/10^6</f>
        <v>-17.879916999999999</v>
      </c>
      <c r="H8" s="29">
        <f>-AIDA!H211/10^6</f>
        <v>-18.465516999999998</v>
      </c>
      <c r="I8" s="29">
        <f>-AIDA!I211/10^6</f>
        <v>-18.018719000000001</v>
      </c>
    </row>
    <row r="9" spans="1:11" ht="14.5" customHeight="1" x14ac:dyDescent="0.3">
      <c r="A9" s="49" t="s">
        <v>328</v>
      </c>
      <c r="E9" s="109">
        <f>-AIDA!E209/10^6-AIDA!E210/10^6</f>
        <v>-8.9355979999999988</v>
      </c>
      <c r="F9" s="29">
        <f>-AIDA!F209/10^6-AIDA!F210/10^6</f>
        <v>-21.883716</v>
      </c>
      <c r="G9" s="29">
        <f>-AIDA!G209/10^6-AIDA!G210/10^6</f>
        <v>-19.339126999999998</v>
      </c>
      <c r="H9" s="29">
        <f>-AIDA!H209/10^6-AIDA!H210/10^6</f>
        <v>-21.244788999999997</v>
      </c>
      <c r="I9" s="29">
        <f>-AIDA!I209/10^6-AIDA!I210/10^6</f>
        <v>-24.540675</v>
      </c>
    </row>
    <row r="10" spans="1:11" ht="14.5" customHeight="1" x14ac:dyDescent="0.3">
      <c r="A10" s="49" t="s">
        <v>329</v>
      </c>
      <c r="E10" s="109">
        <f>-AIDA!E227/10^6</f>
        <v>-0.13533400000000001</v>
      </c>
      <c r="F10" s="29">
        <f>-AIDA!F227/10^6</f>
        <v>-0.222498</v>
      </c>
      <c r="G10" s="29">
        <f>-AIDA!G227/10^6</f>
        <v>-0.305064</v>
      </c>
      <c r="H10" s="29">
        <f>-AIDA!H227/10^6</f>
        <v>-0.24931200000000001</v>
      </c>
      <c r="I10" s="29">
        <f>-AIDA!I227/10^6</f>
        <v>-0.26250299999999999</v>
      </c>
    </row>
    <row r="11" spans="1:11" ht="14.5" customHeight="1" x14ac:dyDescent="0.3">
      <c r="A11" s="43" t="s">
        <v>330</v>
      </c>
      <c r="B11" s="44"/>
      <c r="C11" s="44"/>
      <c r="D11" s="44"/>
      <c r="E11" s="107">
        <f>+E10+E9+E8+E6</f>
        <v>4.7046490000000034</v>
      </c>
      <c r="F11" s="45">
        <f>+F10+F9+F8+F6</f>
        <v>5.3887560000000008</v>
      </c>
      <c r="G11" s="45">
        <f>+G10+G9+G8+G6</f>
        <v>1.8740710000000007</v>
      </c>
      <c r="H11" s="45">
        <f>+H10+H9+H8+H6</f>
        <v>1.1859080000000048</v>
      </c>
      <c r="I11" s="45">
        <f>+I10+I9+I8+I6</f>
        <v>2.9741120000000123</v>
      </c>
    </row>
    <row r="12" spans="1:11" ht="14.5" customHeight="1" x14ac:dyDescent="0.3">
      <c r="A12" s="50" t="s">
        <v>326</v>
      </c>
      <c r="B12" s="47"/>
      <c r="C12" s="47"/>
      <c r="D12" s="47"/>
      <c r="E12" s="108">
        <f t="shared" ref="E12:I12" si="2">+E11/E$3</f>
        <v>0.17714233301846974</v>
      </c>
      <c r="F12" s="48">
        <f t="shared" si="2"/>
        <v>8.6895918228931668E-2</v>
      </c>
      <c r="G12" s="48">
        <f t="shared" si="2"/>
        <v>3.3898877474146723E-2</v>
      </c>
      <c r="H12" s="48">
        <f t="shared" si="2"/>
        <v>1.8721154694214676E-2</v>
      </c>
      <c r="I12" s="48">
        <f t="shared" si="2"/>
        <v>4.3576195001374662E-2</v>
      </c>
    </row>
    <row r="13" spans="1:11" ht="14.5" customHeight="1" x14ac:dyDescent="0.3">
      <c r="A13" s="49" t="s">
        <v>331</v>
      </c>
      <c r="E13" s="109">
        <f>+-AIDA!E223/10^6</f>
        <v>-7.6176999999999995E-2</v>
      </c>
      <c r="F13" s="29">
        <f>+-AIDA!F223/10^6</f>
        <v>-0.126584</v>
      </c>
      <c r="G13" s="29">
        <f>+-AIDA!G223/10^6</f>
        <v>-5.1999999999999998E-2</v>
      </c>
      <c r="H13" s="29">
        <f>+-AIDA!H223/10^6</f>
        <v>-1.1270000000000001E-2</v>
      </c>
      <c r="I13" s="29">
        <f>+-AIDA!I223/10^6</f>
        <v>-7.6465000000000005E-2</v>
      </c>
    </row>
    <row r="14" spans="1:11" ht="14.5" customHeight="1" x14ac:dyDescent="0.3">
      <c r="A14" s="43" t="s">
        <v>332</v>
      </c>
      <c r="B14" s="44"/>
      <c r="C14" s="44"/>
      <c r="D14" s="44"/>
      <c r="E14" s="107">
        <f>+E13+E11</f>
        <v>4.628472000000003</v>
      </c>
      <c r="F14" s="45">
        <f>+F13+F11</f>
        <v>5.2621720000000005</v>
      </c>
      <c r="G14" s="45">
        <f>+G13+G11</f>
        <v>1.8220710000000007</v>
      </c>
      <c r="H14" s="45">
        <f>+H13+H11</f>
        <v>1.174638000000005</v>
      </c>
      <c r="I14" s="45">
        <f>+I13+I11</f>
        <v>2.8976470000000125</v>
      </c>
    </row>
    <row r="15" spans="1:11" ht="14.5" customHeight="1" x14ac:dyDescent="0.3">
      <c r="A15" s="50" t="s">
        <v>326</v>
      </c>
      <c r="B15" s="47"/>
      <c r="C15" s="47"/>
      <c r="D15" s="47"/>
      <c r="E15" s="108">
        <f t="shared" ref="E15:I15" si="3">+E14/E$3</f>
        <v>0.17427406983829455</v>
      </c>
      <c r="F15" s="48">
        <f t="shared" si="3"/>
        <v>8.4854698898701994E-2</v>
      </c>
      <c r="G15" s="48">
        <f t="shared" si="3"/>
        <v>3.2958282572109594E-2</v>
      </c>
      <c r="H15" s="48">
        <f t="shared" si="3"/>
        <v>1.8543242568313009E-2</v>
      </c>
      <c r="I15" s="48">
        <f t="shared" si="3"/>
        <v>4.2455842522792796E-2</v>
      </c>
    </row>
    <row r="16" spans="1:11" ht="14.5" customHeight="1" x14ac:dyDescent="0.3">
      <c r="A16" s="49" t="s">
        <v>333</v>
      </c>
      <c r="E16" s="109">
        <f>(-AIDA!E218+AIDA!E223)/10^6</f>
        <v>-6.0817059999999996</v>
      </c>
      <c r="F16" s="29">
        <f>(-AIDA!F218+AIDA!F223)/10^6</f>
        <v>-14.55987</v>
      </c>
      <c r="G16" s="29">
        <f>(-AIDA!G218+AIDA!G223)/10^6</f>
        <v>-14.92116</v>
      </c>
      <c r="H16" s="95">
        <f>(-AIDA!H218+AIDA!H223)/10^6</f>
        <v>-19.940579</v>
      </c>
      <c r="I16" s="29">
        <f>(-AIDA!I218+AIDA!I223)/10^6</f>
        <v>-15.313615</v>
      </c>
      <c r="K16" s="25" t="s">
        <v>405</v>
      </c>
    </row>
    <row r="17" spans="1:11" ht="14.5" customHeight="1" x14ac:dyDescent="0.3">
      <c r="A17" s="43" t="s">
        <v>334</v>
      </c>
      <c r="B17" s="44"/>
      <c r="C17" s="44"/>
      <c r="D17" s="44"/>
      <c r="E17" s="107">
        <f>+E16+E14</f>
        <v>-1.4532339999999966</v>
      </c>
      <c r="F17" s="45">
        <f>+F16+F14</f>
        <v>-9.2976980000000005</v>
      </c>
      <c r="G17" s="45">
        <f>+G16+G14</f>
        <v>-13.099088999999999</v>
      </c>
      <c r="H17" s="45">
        <f>+H16+H14</f>
        <v>-18.765940999999994</v>
      </c>
      <c r="I17" s="45">
        <f>+I16+I14</f>
        <v>-12.415967999999989</v>
      </c>
    </row>
    <row r="18" spans="1:11" ht="14.5" customHeight="1" x14ac:dyDescent="0.3">
      <c r="A18" s="50" t="s">
        <v>326</v>
      </c>
      <c r="B18" s="47"/>
      <c r="C18" s="47"/>
      <c r="D18" s="47"/>
      <c r="E18" s="108">
        <f t="shared" ref="E18:I18" si="4">+E17/E$3</f>
        <v>-5.4718058920391742E-2</v>
      </c>
      <c r="F18" s="48">
        <f t="shared" si="4"/>
        <v>-0.14992922394803207</v>
      </c>
      <c r="G18" s="48">
        <f t="shared" si="4"/>
        <v>-0.23694108336020511</v>
      </c>
      <c r="H18" s="48">
        <f t="shared" si="4"/>
        <v>-0.29624564843436768</v>
      </c>
      <c r="I18" s="48">
        <f t="shared" si="4"/>
        <v>-0.1819167007492741</v>
      </c>
    </row>
    <row r="19" spans="1:11" ht="14.5" customHeight="1" x14ac:dyDescent="0.3">
      <c r="A19" s="51" t="s">
        <v>335</v>
      </c>
      <c r="B19" s="51"/>
      <c r="C19" s="51"/>
      <c r="D19" s="51"/>
      <c r="E19" s="110">
        <f>+(-AIDA!E225-AIDA!E226)/10^6</f>
        <v>0</v>
      </c>
      <c r="F19" s="51">
        <f>+(-AIDA!F225-AIDA!F226)/10^6</f>
        <v>0</v>
      </c>
      <c r="G19" s="51">
        <f>+(-AIDA!G225-AIDA!G226)/10^6</f>
        <v>-0.34966999999999998</v>
      </c>
      <c r="H19" s="51">
        <f>+(-AIDA!H225-AIDA!H226)/10^6</f>
        <v>-0.44283899999999998</v>
      </c>
      <c r="I19" s="51">
        <f>+(-AIDA!I225-AIDA!I226)/10^6</f>
        <v>-3.8324999999999998E-2</v>
      </c>
    </row>
    <row r="20" spans="1:11" ht="14.5" customHeight="1" x14ac:dyDescent="0.3">
      <c r="A20" s="25" t="s">
        <v>336</v>
      </c>
      <c r="E20" s="110">
        <f>+(AIDA!E233+AIDA!E237)/10^6</f>
        <v>3.4E-5</v>
      </c>
      <c r="F20" s="51">
        <f>+(AIDA!F233+AIDA!F237)/10^6</f>
        <v>1.0399999999999999E-4</v>
      </c>
      <c r="G20" s="51">
        <f>+(AIDA!G233+AIDA!G237)/10^6</f>
        <v>0</v>
      </c>
      <c r="H20" s="51">
        <f>+(AIDA!H233+AIDA!H237)/10^6</f>
        <v>9.1000000000000003E-5</v>
      </c>
      <c r="I20" s="51">
        <f>+(AIDA!I233+AIDA!I237)/10^6</f>
        <v>1.108E-3</v>
      </c>
    </row>
    <row r="21" spans="1:11" ht="14.5" customHeight="1" x14ac:dyDescent="0.3">
      <c r="A21" s="25" t="s">
        <v>337</v>
      </c>
      <c r="E21" s="110">
        <f>-AIDA!E247/10^6</f>
        <v>-0.41425000000000001</v>
      </c>
      <c r="F21" s="51">
        <f>-AIDA!F247/10^6</f>
        <v>-2.2409829999999999</v>
      </c>
      <c r="G21" s="51">
        <f>-AIDA!G247/10^6</f>
        <v>-2.3140679999999998</v>
      </c>
      <c r="H21" s="51">
        <f>-AIDA!H247/10^6</f>
        <v>-2.5320209999999999</v>
      </c>
      <c r="I21" s="103">
        <f>-AIDA!I247/10^6</f>
        <v>-4.6937930000000003</v>
      </c>
      <c r="K21" s="25" t="s">
        <v>406</v>
      </c>
    </row>
    <row r="22" spans="1:11" ht="14.5" customHeight="1" x14ac:dyDescent="0.3">
      <c r="A22" s="25" t="s">
        <v>338</v>
      </c>
      <c r="E22" s="110">
        <f>+AIDA!E250/10^6</f>
        <v>1.1820000000000001E-2</v>
      </c>
      <c r="F22" s="51">
        <f>+AIDA!F250/10^6</f>
        <v>2.1870000000000001E-3</v>
      </c>
      <c r="G22" s="51">
        <f>+AIDA!G250/10^6</f>
        <v>-6.9269999999999998E-2</v>
      </c>
      <c r="H22" s="51">
        <f>+AIDA!H250/10^6</f>
        <v>-1.5585999999999999E-2</v>
      </c>
      <c r="I22" s="51">
        <f>+AIDA!I250/10^6</f>
        <v>-7.3130000000000001E-3</v>
      </c>
    </row>
    <row r="23" spans="1:11" ht="14.5" customHeight="1" x14ac:dyDescent="0.3">
      <c r="A23" s="25" t="s">
        <v>339</v>
      </c>
      <c r="E23" s="110">
        <f>+AIDA!E252/10^6</f>
        <v>0</v>
      </c>
      <c r="F23" s="51">
        <f>+AIDA!F252/10^6</f>
        <v>-3.4195000000000003E-2</v>
      </c>
      <c r="G23" s="51">
        <f>+AIDA!G252/10^6</f>
        <v>-9.0351000000000001E-2</v>
      </c>
      <c r="H23" s="51">
        <f>+AIDA!H252/10^6</f>
        <v>9.6712999999999993E-2</v>
      </c>
      <c r="I23" s="51">
        <f>+AIDA!I252/10^6</f>
        <v>0.52028200000000002</v>
      </c>
    </row>
    <row r="24" spans="1:11" ht="14.5" customHeight="1" x14ac:dyDescent="0.3">
      <c r="A24" s="25" t="s">
        <v>340</v>
      </c>
      <c r="E24" s="110">
        <f>+AIDA!E266/10^6</f>
        <v>0</v>
      </c>
      <c r="F24" s="51">
        <f>+AIDA!F266/10^6</f>
        <v>0</v>
      </c>
      <c r="G24" s="51">
        <f>+AIDA!G266/10^6</f>
        <v>0</v>
      </c>
      <c r="H24" s="51">
        <f>+AIDA!H266/10^6</f>
        <v>0</v>
      </c>
      <c r="I24" s="51">
        <f>+AIDA!I266/10^6</f>
        <v>0</v>
      </c>
    </row>
    <row r="25" spans="1:11" ht="14.5" customHeight="1" x14ac:dyDescent="0.3">
      <c r="A25" s="52" t="s">
        <v>341</v>
      </c>
      <c r="B25" s="52"/>
      <c r="C25" s="52"/>
      <c r="D25" s="52"/>
      <c r="E25" s="111">
        <f>+E24+E23+E22+E21+E20+E19+E17</f>
        <v>-1.8556299999999966</v>
      </c>
      <c r="F25" s="52">
        <f>+F24+F23+F22+F21+F20+F19+F17</f>
        <v>-11.570585000000001</v>
      </c>
      <c r="G25" s="52">
        <f>+G24+G23+G22+G21+G20+G19+G17</f>
        <v>-15.922447999999999</v>
      </c>
      <c r="H25" s="52">
        <f>+H24+H23+H22+H21+H20+H19+H17</f>
        <v>-21.659582999999994</v>
      </c>
      <c r="I25" s="52">
        <f>+I24+I23+I22+I21+I20+I19+I17</f>
        <v>-16.634008999999988</v>
      </c>
    </row>
    <row r="26" spans="1:11" ht="14.5" customHeight="1" x14ac:dyDescent="0.3">
      <c r="A26" s="50" t="s">
        <v>326</v>
      </c>
      <c r="B26" s="50"/>
      <c r="C26" s="50"/>
      <c r="D26" s="50"/>
      <c r="E26" s="108">
        <f t="shared" ref="E26:I26" si="5">+E25/E$3</f>
        <v>-6.9869320202009158E-2</v>
      </c>
      <c r="F26" s="48">
        <f t="shared" si="5"/>
        <v>-0.18658046644177306</v>
      </c>
      <c r="G26" s="48">
        <f t="shared" si="5"/>
        <v>-0.28801102724521765</v>
      </c>
      <c r="H26" s="48">
        <f t="shared" si="5"/>
        <v>-0.3419256839107086</v>
      </c>
      <c r="I26" s="48">
        <f t="shared" si="5"/>
        <v>-0.24371873683257983</v>
      </c>
    </row>
    <row r="27" spans="1:11" ht="14.5" customHeight="1" x14ac:dyDescent="0.3">
      <c r="A27" s="25" t="s">
        <v>342</v>
      </c>
      <c r="E27" s="110">
        <f>-AIDA!E274/10^6</f>
        <v>-0.73170599999999997</v>
      </c>
      <c r="F27" s="51">
        <f>-AIDA!F274/10^6</f>
        <v>1.0372840000000001</v>
      </c>
      <c r="G27" s="51">
        <f>-AIDA!G274/10^6</f>
        <v>2.2659690000000001</v>
      </c>
      <c r="H27" s="51">
        <f>-AIDA!H274/10^6</f>
        <v>-4.6421999999999998E-2</v>
      </c>
      <c r="I27" s="51">
        <f>-AIDA!I274/10^6</f>
        <v>-1.5533E-2</v>
      </c>
    </row>
    <row r="28" spans="1:11" ht="14.5" customHeight="1" x14ac:dyDescent="0.3">
      <c r="A28" s="52" t="s">
        <v>343</v>
      </c>
      <c r="B28" s="52"/>
      <c r="C28" s="52"/>
      <c r="D28" s="52"/>
      <c r="E28" s="111">
        <f>+E27+E25</f>
        <v>-2.5873359999999965</v>
      </c>
      <c r="F28" s="52">
        <f>+F27+F25</f>
        <v>-10.533301000000002</v>
      </c>
      <c r="G28" s="52">
        <f>+G27+G25</f>
        <v>-13.656478999999999</v>
      </c>
      <c r="H28" s="52">
        <f>+H27+H25</f>
        <v>-21.706004999999994</v>
      </c>
      <c r="I28" s="52">
        <f>+I27+I25</f>
        <v>-16.64954199999999</v>
      </c>
    </row>
    <row r="29" spans="1:11" ht="14.5" customHeight="1" x14ac:dyDescent="0.3">
      <c r="A29" s="50" t="s">
        <v>326</v>
      </c>
      <c r="B29" s="50"/>
      <c r="C29" s="50"/>
      <c r="D29" s="50"/>
      <c r="E29" s="108">
        <f t="shared" ref="E29:I29" si="6">+E28/E$3</f>
        <v>-9.741996381508472E-2</v>
      </c>
      <c r="F29" s="48">
        <f t="shared" si="6"/>
        <v>-0.1698538331252564</v>
      </c>
      <c r="G29" s="48">
        <f t="shared" si="6"/>
        <v>-0.24702335629186811</v>
      </c>
      <c r="H29" s="48">
        <f t="shared" si="6"/>
        <v>-0.34265851769141914</v>
      </c>
      <c r="I29" s="48">
        <f t="shared" si="6"/>
        <v>-0.2439463237684304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B2E0E-D72D-4E7F-9863-7756BD492F26}">
  <dimension ref="A1:I26"/>
  <sheetViews>
    <sheetView showGridLines="0" zoomScale="90" zoomScaleNormal="90" workbookViewId="0">
      <selection activeCell="H14" sqref="H14"/>
    </sheetView>
  </sheetViews>
  <sheetFormatPr defaultRowHeight="14.5" x14ac:dyDescent="0.35"/>
  <cols>
    <col min="1" max="9" width="9.6328125" customWidth="1"/>
  </cols>
  <sheetData>
    <row r="1" spans="1:9" ht="14.5" customHeight="1" x14ac:dyDescent="0.35">
      <c r="A1" s="85" t="s">
        <v>383</v>
      </c>
      <c r="B1" s="85"/>
      <c r="C1" s="85"/>
      <c r="D1" s="85"/>
      <c r="E1" s="85"/>
      <c r="F1" s="85">
        <v>2019</v>
      </c>
      <c r="G1" s="85">
        <v>2020</v>
      </c>
      <c r="H1" s="85">
        <v>2021</v>
      </c>
      <c r="I1" s="85">
        <v>2022</v>
      </c>
    </row>
    <row r="2" spans="1:9" ht="14.5" customHeight="1" x14ac:dyDescent="0.35">
      <c r="A2" s="42" t="s">
        <v>301</v>
      </c>
      <c r="B2" s="25"/>
      <c r="C2" s="25"/>
      <c r="D2" s="25"/>
      <c r="E2" s="25"/>
      <c r="F2" s="25"/>
      <c r="G2" s="25"/>
      <c r="H2" s="25"/>
      <c r="I2" s="25"/>
    </row>
    <row r="3" spans="1:9" ht="14.5" customHeight="1" x14ac:dyDescent="0.35">
      <c r="A3" s="53" t="s">
        <v>332</v>
      </c>
      <c r="B3" s="44"/>
      <c r="C3" s="44"/>
      <c r="D3" s="44"/>
      <c r="E3" s="54"/>
      <c r="F3" s="45">
        <f>+'Profit&amp;Loss'!F14</f>
        <v>5.2621720000000005</v>
      </c>
      <c r="G3" s="45">
        <f>+'Profit&amp;Loss'!G14</f>
        <v>1.8220710000000007</v>
      </c>
      <c r="H3" s="45">
        <f>+'Profit&amp;Loss'!H14</f>
        <v>1.174638000000005</v>
      </c>
      <c r="I3" s="45">
        <f>+'Profit&amp;Loss'!I14</f>
        <v>2.8976470000000125</v>
      </c>
    </row>
    <row r="4" spans="1:9" ht="14.5" customHeight="1" x14ac:dyDescent="0.35">
      <c r="A4" s="55" t="s">
        <v>342</v>
      </c>
      <c r="B4" s="25"/>
      <c r="C4" s="25"/>
      <c r="D4" s="25"/>
      <c r="E4" s="25"/>
      <c r="F4" s="51">
        <f>+'Profit&amp;Loss'!F27</f>
        <v>1.0372840000000001</v>
      </c>
      <c r="G4" s="51">
        <f>+'Profit&amp;Loss'!G27</f>
        <v>2.2659690000000001</v>
      </c>
      <c r="H4" s="51">
        <f>+'Profit&amp;Loss'!H27</f>
        <v>-4.6421999999999998E-2</v>
      </c>
      <c r="I4" s="51">
        <f>+'Profit&amp;Loss'!I27</f>
        <v>-1.5533E-2</v>
      </c>
    </row>
    <row r="5" spans="1:9" ht="14.5" customHeight="1" x14ac:dyDescent="0.35">
      <c r="A5" s="56" t="s">
        <v>344</v>
      </c>
      <c r="B5" s="25"/>
      <c r="C5" s="25"/>
      <c r="D5" s="25"/>
      <c r="E5" s="25"/>
      <c r="F5" s="51">
        <f>'Reclassified BS'!E7-'Reclassified BS'!F7</f>
        <v>-6.7234000000000904E-2</v>
      </c>
      <c r="G5" s="51">
        <f>'Reclassified BS'!F7-'Reclassified BS'!G7</f>
        <v>-1.5309869999999997</v>
      </c>
      <c r="H5" s="51">
        <f>'Reclassified BS'!G7-'Reclassified BS'!H7</f>
        <v>-2.3229629999999997</v>
      </c>
      <c r="I5" s="51">
        <f>'Reclassified BS'!H7-'Reclassified BS'!I7</f>
        <v>0.8999069999999989</v>
      </c>
    </row>
    <row r="6" spans="1:9" ht="14.5" customHeight="1" x14ac:dyDescent="0.35">
      <c r="A6" s="56" t="s">
        <v>345</v>
      </c>
      <c r="B6" s="25"/>
      <c r="C6" s="25"/>
      <c r="D6" s="25"/>
      <c r="E6" s="25"/>
      <c r="F6" s="51">
        <f>'Reclassified BS'!E8-'Reclassified BS'!F8</f>
        <v>3.5327240000000009</v>
      </c>
      <c r="G6" s="51">
        <f>'Reclassified BS'!F8-'Reclassified BS'!G8</f>
        <v>-5.4037000000000113E-2</v>
      </c>
      <c r="H6" s="51">
        <f>'Reclassified BS'!G8-'Reclassified BS'!H8</f>
        <v>-0.38544599999999996</v>
      </c>
      <c r="I6" s="51">
        <f>'Reclassified BS'!H8-'Reclassified BS'!I8</f>
        <v>-1.6204710000000002</v>
      </c>
    </row>
    <row r="7" spans="1:9" ht="14.5" customHeight="1" x14ac:dyDescent="0.35">
      <c r="A7" s="56" t="s">
        <v>346</v>
      </c>
      <c r="B7" s="25"/>
      <c r="C7" s="25"/>
      <c r="D7" s="25"/>
      <c r="E7" s="25"/>
      <c r="F7" s="51">
        <f>'Reclassified BS'!E9-'Reclassified BS'!F9</f>
        <v>0.36657499999999921</v>
      </c>
      <c r="G7" s="51">
        <f>'Reclassified BS'!F9-'Reclassified BS'!G9</f>
        <v>-1.6224189999999989</v>
      </c>
      <c r="H7" s="51">
        <f>'Reclassified BS'!G9-'Reclassified BS'!H9</f>
        <v>6.2786950000000008</v>
      </c>
      <c r="I7" s="51">
        <f>'Reclassified BS'!H9-'Reclassified BS'!I9</f>
        <v>-1.9777000000000022</v>
      </c>
    </row>
    <row r="8" spans="1:9" ht="14.5" customHeight="1" x14ac:dyDescent="0.35">
      <c r="A8" s="56" t="s">
        <v>347</v>
      </c>
      <c r="B8" s="25"/>
      <c r="C8" s="25"/>
      <c r="D8" s="25"/>
      <c r="E8" s="25"/>
      <c r="F8" s="51">
        <f>'Reclassified BS'!E10-'Reclassified BS'!F10</f>
        <v>-0.74740099999999987</v>
      </c>
      <c r="G8" s="51">
        <f>'Reclassified BS'!F10-'Reclassified BS'!G10</f>
        <v>4.7655000000000003E-2</v>
      </c>
      <c r="H8" s="51">
        <f>'Reclassified BS'!G10-'Reclassified BS'!H10</f>
        <v>-0.34054500000000004</v>
      </c>
      <c r="I8" s="51">
        <f>'Reclassified BS'!H10-'Reclassified BS'!I10</f>
        <v>2.551500000000001E-2</v>
      </c>
    </row>
    <row r="9" spans="1:9" ht="14.5" customHeight="1" x14ac:dyDescent="0.35">
      <c r="A9" s="57" t="s">
        <v>348</v>
      </c>
      <c r="B9" s="58"/>
      <c r="C9" s="58"/>
      <c r="D9" s="58"/>
      <c r="E9" s="58"/>
      <c r="F9" s="59">
        <f t="shared" ref="F9:I9" si="0">+F8+F7+F6+F5</f>
        <v>3.0846639999999992</v>
      </c>
      <c r="G9" s="59">
        <f t="shared" si="0"/>
        <v>-3.1597879999999989</v>
      </c>
      <c r="H9" s="59">
        <f t="shared" si="0"/>
        <v>3.2297410000000015</v>
      </c>
      <c r="I9" s="59">
        <f t="shared" si="0"/>
        <v>-2.6727490000000036</v>
      </c>
    </row>
    <row r="10" spans="1:9" ht="14.5" customHeight="1" x14ac:dyDescent="0.35">
      <c r="A10" s="60" t="s">
        <v>349</v>
      </c>
      <c r="B10" s="25"/>
      <c r="C10" s="25"/>
      <c r="D10" s="25"/>
      <c r="E10" s="25"/>
      <c r="F10" s="51">
        <f>'Reclassified BS'!E14-'Reclassified BS'!F14</f>
        <v>-2.3438889999999999</v>
      </c>
      <c r="G10" s="51">
        <f>'Reclassified BS'!F14-'Reclassified BS'!G14</f>
        <v>-0.72619800000000012</v>
      </c>
      <c r="H10" s="51">
        <f>'Reclassified BS'!G14-'Reclassified BS'!H14</f>
        <v>-1.4535879999999999</v>
      </c>
      <c r="I10" s="51">
        <f>'Reclassified BS'!H14-'Reclassified BS'!I14</f>
        <v>-2.193948999999999</v>
      </c>
    </row>
    <row r="11" spans="1:9" ht="14.5" customHeight="1" x14ac:dyDescent="0.35">
      <c r="A11" s="61" t="s">
        <v>335</v>
      </c>
      <c r="B11" s="25"/>
      <c r="C11" s="25"/>
      <c r="D11" s="25"/>
      <c r="E11" s="25"/>
      <c r="F11" s="51">
        <f>+'Profit&amp;Loss'!F19</f>
        <v>0</v>
      </c>
      <c r="G11" s="51">
        <f>+'Profit&amp;Loss'!G19</f>
        <v>-0.34966999999999998</v>
      </c>
      <c r="H11" s="51">
        <f>+'Profit&amp;Loss'!H19</f>
        <v>-0.44283899999999998</v>
      </c>
      <c r="I11" s="51">
        <f>+'Profit&amp;Loss'!I19</f>
        <v>-3.8324999999999998E-2</v>
      </c>
    </row>
    <row r="12" spans="1:9" ht="14.5" customHeight="1" x14ac:dyDescent="0.35">
      <c r="A12" s="53" t="s">
        <v>350</v>
      </c>
      <c r="B12" s="44"/>
      <c r="C12" s="44"/>
      <c r="D12" s="44"/>
      <c r="E12" s="44"/>
      <c r="F12" s="62">
        <f t="shared" ref="F12:I12" si="1">+F11+F10+F9+F4+F3</f>
        <v>7.0402310000000003</v>
      </c>
      <c r="G12" s="62">
        <f t="shared" si="1"/>
        <v>-0.14761599999999797</v>
      </c>
      <c r="H12" s="62">
        <f t="shared" si="1"/>
        <v>2.4615300000000069</v>
      </c>
      <c r="I12" s="62">
        <f t="shared" si="1"/>
        <v>-2.0229089999999896</v>
      </c>
    </row>
    <row r="13" spans="1:9" ht="14.5" customHeight="1" x14ac:dyDescent="0.35">
      <c r="A13" s="55" t="s">
        <v>351</v>
      </c>
      <c r="B13" s="25"/>
      <c r="C13" s="25"/>
      <c r="D13" s="25"/>
      <c r="E13" s="25"/>
      <c r="F13" s="51">
        <f>+'Reclassified BS'!E3-'Reclassified BS'!F3+'Profit&amp;Loss'!F16</f>
        <v>-16.937578999999999</v>
      </c>
      <c r="G13" s="51">
        <f>+'Reclassified BS'!F3-'Reclassified BS'!G3+'Profit&amp;Loss'!G16</f>
        <v>-20.485049</v>
      </c>
      <c r="H13" s="51">
        <f>+'Reclassified BS'!G3-'Reclassified BS'!H3+'Profit&amp;Loss'!H16</f>
        <v>-17.816457</v>
      </c>
      <c r="I13" s="51">
        <f>+'Reclassified BS'!H3-'Reclassified BS'!I3+'Profit&amp;Loss'!I16</f>
        <v>-13.416224999999999</v>
      </c>
    </row>
    <row r="14" spans="1:9" ht="14.5" customHeight="1" x14ac:dyDescent="0.35">
      <c r="A14" s="25" t="s">
        <v>352</v>
      </c>
      <c r="B14" s="25"/>
      <c r="C14" s="25"/>
      <c r="D14" s="25"/>
      <c r="E14" s="25"/>
      <c r="F14" s="51">
        <f>+'Reclassified BS'!E19-'Reclassified BS'!F19+'Reclassified BS'!E4-'Reclassified BS'!F4+'Reclassified BS'!E5-'Reclassified BS'!F5</f>
        <v>15.570946000000006</v>
      </c>
      <c r="G14" s="51">
        <f>+'Reclassified BS'!F19-'Reclassified BS'!G19+'Reclassified BS'!F4-'Reclassified BS'!G4+'Reclassified BS'!F5-'Reclassified BS'!G5</f>
        <v>10.568903999999998</v>
      </c>
      <c r="H14" s="51">
        <f>+'Reclassified BS'!G19-'Reclassified BS'!H19+'Reclassified BS'!G4-'Reclassified BS'!H4+'Reclassified BS'!G5-'Reclassified BS'!H5</f>
        <v>14.917655000000002</v>
      </c>
      <c r="I14" s="51">
        <f>+'Reclassified BS'!H19-'Reclassified BS'!I19+'Reclassified BS'!H4-'Reclassified BS'!I4+'Reclassified BS'!H5-'Reclassified BS'!I5</f>
        <v>9.8167970000000029</v>
      </c>
    </row>
    <row r="15" spans="1:9" ht="14.5" customHeight="1" x14ac:dyDescent="0.35">
      <c r="A15" s="60" t="s">
        <v>353</v>
      </c>
      <c r="B15" s="25"/>
      <c r="C15" s="25"/>
      <c r="D15" s="25"/>
      <c r="E15" s="25"/>
      <c r="F15" s="51">
        <f>+'Profit&amp;Loss'!F24</f>
        <v>0</v>
      </c>
      <c r="G15" s="51">
        <f>+'Profit&amp;Loss'!G24</f>
        <v>0</v>
      </c>
      <c r="H15" s="51">
        <f>+'Profit&amp;Loss'!H24</f>
        <v>0</v>
      </c>
      <c r="I15" s="51">
        <f>+'Profit&amp;Loss'!I24</f>
        <v>0</v>
      </c>
    </row>
    <row r="16" spans="1:9" ht="14.5" customHeight="1" x14ac:dyDescent="0.35">
      <c r="A16" s="53" t="s">
        <v>377</v>
      </c>
      <c r="B16" s="44"/>
      <c r="C16" s="44"/>
      <c r="D16" s="44"/>
      <c r="E16" s="44"/>
      <c r="F16" s="62">
        <f t="shared" ref="F16:I16" si="2">+F15+F14+F13+F12</f>
        <v>5.6735980000000072</v>
      </c>
      <c r="G16" s="62">
        <f t="shared" si="2"/>
        <v>-10.063761</v>
      </c>
      <c r="H16" s="62">
        <f t="shared" si="2"/>
        <v>-0.43727199999999122</v>
      </c>
      <c r="I16" s="62">
        <f t="shared" si="2"/>
        <v>-5.6223369999999857</v>
      </c>
    </row>
    <row r="17" spans="1:9" ht="14.5" customHeight="1" x14ac:dyDescent="0.35">
      <c r="A17" s="60" t="s">
        <v>354</v>
      </c>
      <c r="B17" s="25"/>
      <c r="C17" s="25"/>
      <c r="D17" s="25"/>
      <c r="E17" s="25"/>
      <c r="F17" s="51">
        <f>-SUM('Reclassified BS'!F22:F23)+SUM('Reclassified BS'!E22:E23)</f>
        <v>38.184452999999998</v>
      </c>
      <c r="G17" s="51">
        <f>-SUM('Reclassified BS'!G22:G23)+SUM('Reclassified BS'!F22:F23)</f>
        <v>8.3825839999999943</v>
      </c>
      <c r="H17" s="51">
        <f>-SUM('Reclassified BS'!H22:H23)+SUM('Reclassified BS'!G22:G23)</f>
        <v>-1.0126929999999987</v>
      </c>
      <c r="I17" s="51">
        <f>-SUM('Reclassified BS'!I22:I23)+SUM('Reclassified BS'!H22:H23)</f>
        <v>6.016284000000006</v>
      </c>
    </row>
    <row r="18" spans="1:9" ht="14.5" customHeight="1" x14ac:dyDescent="0.35">
      <c r="A18" s="60" t="s">
        <v>355</v>
      </c>
      <c r="B18" s="25"/>
      <c r="C18" s="25"/>
      <c r="D18" s="25"/>
      <c r="E18" s="25"/>
      <c r="F18" s="51">
        <f>-SUM('Reclassified BS'!F24:F25)+SUM('Reclassified BS'!E24:E25)</f>
        <v>-0.17613900000000002</v>
      </c>
      <c r="G18" s="51">
        <f>-SUM('Reclassified BS'!G24:G25)+SUM('Reclassified BS'!F24:F25)</f>
        <v>0.41253899999999999</v>
      </c>
      <c r="H18" s="51">
        <f>-SUM('Reclassified BS'!H24:H25)+SUM('Reclassified BS'!G24:G25)</f>
        <v>-0.13189299999999998</v>
      </c>
      <c r="I18" s="51">
        <f>-SUM('Reclassified BS'!I24:I25)+SUM('Reclassified BS'!H24:H25)</f>
        <v>-2.1504999999999996E-2</v>
      </c>
    </row>
    <row r="19" spans="1:9" ht="14.5" customHeight="1" x14ac:dyDescent="0.35">
      <c r="A19" s="60" t="s">
        <v>356</v>
      </c>
      <c r="B19" s="25"/>
      <c r="C19" s="25"/>
      <c r="D19" s="25"/>
      <c r="E19" s="25"/>
      <c r="F19" s="51">
        <f>+SUM('Profit&amp;Loss'!F20:F23)</f>
        <v>-2.2728869999999999</v>
      </c>
      <c r="G19" s="51">
        <f>+SUM('Profit&amp;Loss'!G20:G23)</f>
        <v>-2.4736889999999998</v>
      </c>
      <c r="H19" s="51">
        <f>+SUM('Profit&amp;Loss'!H20:H23)</f>
        <v>-2.4508030000000001</v>
      </c>
      <c r="I19" s="51">
        <f>+SUM('Profit&amp;Loss'!I20:I23)</f>
        <v>-4.179716</v>
      </c>
    </row>
    <row r="20" spans="1:9" ht="14.5" customHeight="1" x14ac:dyDescent="0.35">
      <c r="A20" s="53" t="s">
        <v>357</v>
      </c>
      <c r="B20" s="44"/>
      <c r="C20" s="44"/>
      <c r="D20" s="44"/>
      <c r="E20" s="44"/>
      <c r="F20" s="62">
        <f t="shared" ref="F20:I20" si="3">+F19+F18+F17+F16</f>
        <v>41.409025000000007</v>
      </c>
      <c r="G20" s="62">
        <f t="shared" si="3"/>
        <v>-3.7423270000000048</v>
      </c>
      <c r="H20" s="62">
        <f t="shared" si="3"/>
        <v>-4.0326609999999903</v>
      </c>
      <c r="I20" s="62">
        <f t="shared" si="3"/>
        <v>-3.8072739999999801</v>
      </c>
    </row>
    <row r="21" spans="1:9" ht="14.5" customHeight="1" x14ac:dyDescent="0.35">
      <c r="A21" s="60" t="s">
        <v>358</v>
      </c>
      <c r="B21" s="25"/>
      <c r="C21" s="25"/>
      <c r="D21" s="25"/>
      <c r="E21" s="25"/>
      <c r="F21" s="51">
        <f>'Reclassified BS'!E28-'Reclassified BS'!F28-'Profit&amp;Loss'!F28</f>
        <v>-37.581966999999999</v>
      </c>
      <c r="G21" s="51">
        <f>'Reclassified BS'!F28-'Reclassified BS'!G28-'Profit&amp;Loss'!G28</f>
        <v>5.5378550000000022</v>
      </c>
      <c r="H21" s="51">
        <f>'Reclassified BS'!G28-'Reclassified BS'!H28-'Profit&amp;Loss'!H28</f>
        <v>-2.0000000056086265E-6</v>
      </c>
      <c r="I21" s="51">
        <f>'Reclassified BS'!H28-'Reclassified BS'!I28-'Profit&amp;Loss'!I28</f>
        <v>8.4999999999999929</v>
      </c>
    </row>
    <row r="22" spans="1:9" ht="14.5" customHeight="1" x14ac:dyDescent="0.35">
      <c r="A22" s="53" t="s">
        <v>359</v>
      </c>
      <c r="B22" s="44"/>
      <c r="C22" s="44"/>
      <c r="D22" s="44"/>
      <c r="E22" s="44"/>
      <c r="F22" s="62">
        <f t="shared" ref="F22:I22" si="4">+F21+F20</f>
        <v>3.8270580000000081</v>
      </c>
      <c r="G22" s="62">
        <f t="shared" si="4"/>
        <v>1.7955279999999973</v>
      </c>
      <c r="H22" s="62">
        <f t="shared" si="4"/>
        <v>-4.0326629999999959</v>
      </c>
      <c r="I22" s="62">
        <f t="shared" si="4"/>
        <v>4.6927260000000128</v>
      </c>
    </row>
    <row r="23" spans="1:9" x14ac:dyDescent="0.35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35">
      <c r="A24" s="53" t="s">
        <v>360</v>
      </c>
      <c r="B24" s="44"/>
      <c r="C24" s="44"/>
      <c r="D24" s="44"/>
      <c r="E24" s="44"/>
      <c r="F24" s="62">
        <f>+F22+'Reclassified BS'!E21</f>
        <v>5.374403000000008</v>
      </c>
      <c r="G24" s="62">
        <f>+G22+'Reclassified BS'!F21</f>
        <v>7.1699309999999974</v>
      </c>
      <c r="H24" s="62">
        <f>+H22+'Reclassified BS'!G21</f>
        <v>3.1372680000000042</v>
      </c>
      <c r="I24" s="62">
        <f>+I22+'Reclassified BS'!H21</f>
        <v>7.8299940000000134</v>
      </c>
    </row>
    <row r="25" spans="1:9" x14ac:dyDescent="0.35">
      <c r="A25" s="63"/>
      <c r="B25" s="25"/>
      <c r="C25" s="25"/>
      <c r="D25" s="25"/>
      <c r="E25" s="25"/>
      <c r="F25" s="64"/>
      <c r="G25" s="64"/>
      <c r="H25" s="64"/>
      <c r="I25" s="64"/>
    </row>
    <row r="26" spans="1:9" x14ac:dyDescent="0.35">
      <c r="A26" s="66" t="s">
        <v>321</v>
      </c>
      <c r="B26" s="39"/>
      <c r="C26" s="39"/>
      <c r="D26" s="39"/>
      <c r="E26" s="39"/>
      <c r="F26" s="65">
        <f>+F24-'Reclassified BS'!F21</f>
        <v>7.9936057773011271E-15</v>
      </c>
      <c r="G26" s="65">
        <f>+G24-'Reclassified BS'!G21</f>
        <v>0</v>
      </c>
      <c r="H26" s="65">
        <f>+H24-'Reclassified BS'!H21</f>
        <v>3.9968028886505635E-15</v>
      </c>
      <c r="I26" s="65">
        <f>+I24-'Reclassified BS'!I21</f>
        <v>1.3322676295501878E-14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9759-5D20-45EA-AA50-64960EAD473D}">
  <dimension ref="A1:I25"/>
  <sheetViews>
    <sheetView showGridLines="0" zoomScale="90" zoomScaleNormal="90" workbookViewId="0">
      <selection activeCell="R8" sqref="R8"/>
    </sheetView>
  </sheetViews>
  <sheetFormatPr defaultRowHeight="14.5" x14ac:dyDescent="0.35"/>
  <sheetData>
    <row r="1" spans="1:9" x14ac:dyDescent="0.35">
      <c r="A1" s="85" t="s">
        <v>253</v>
      </c>
      <c r="B1" s="85"/>
      <c r="C1" s="85"/>
      <c r="D1" s="85"/>
      <c r="E1" s="105">
        <v>2018</v>
      </c>
      <c r="F1" s="85">
        <v>2019</v>
      </c>
      <c r="G1" s="85">
        <v>2020</v>
      </c>
      <c r="H1" s="85">
        <v>2021</v>
      </c>
      <c r="I1" s="85">
        <v>2022</v>
      </c>
    </row>
    <row r="2" spans="1:9" x14ac:dyDescent="0.35">
      <c r="A2" s="67"/>
      <c r="B2" s="67"/>
      <c r="C2" s="67"/>
      <c r="D2" s="67"/>
      <c r="E2" s="115"/>
      <c r="F2" s="67"/>
      <c r="G2" s="67"/>
      <c r="H2" s="67"/>
      <c r="I2" s="67"/>
    </row>
    <row r="3" spans="1:9" x14ac:dyDescent="0.35">
      <c r="A3" s="85" t="s">
        <v>361</v>
      </c>
      <c r="B3" s="85"/>
      <c r="C3" s="85"/>
      <c r="D3" s="85"/>
      <c r="E3" s="116"/>
      <c r="F3" s="77"/>
      <c r="G3" s="77"/>
      <c r="H3" s="77"/>
      <c r="I3" s="77"/>
    </row>
    <row r="4" spans="1:9" x14ac:dyDescent="0.35">
      <c r="A4" s="79" t="s">
        <v>378</v>
      </c>
      <c r="B4" s="79"/>
      <c r="C4" s="79"/>
      <c r="D4" s="79"/>
      <c r="E4" s="117">
        <f>AIDA!E329</f>
        <v>-1.1299999999999999</v>
      </c>
      <c r="F4" s="80">
        <f>AIDA!F329</f>
        <v>-7.81</v>
      </c>
      <c r="G4" s="80">
        <f>AIDA!G329</f>
        <v>-11.23</v>
      </c>
      <c r="H4" s="80">
        <f>AIDA!H329</f>
        <v>-19.829999999999998</v>
      </c>
      <c r="I4" s="80">
        <f>AIDA!I329</f>
        <v>-13.15</v>
      </c>
    </row>
    <row r="5" spans="1:9" x14ac:dyDescent="0.35">
      <c r="A5" s="81" t="s">
        <v>379</v>
      </c>
      <c r="B5" s="81"/>
      <c r="C5" s="81"/>
      <c r="D5" s="81"/>
      <c r="E5" s="117">
        <f>AIDA!E328</f>
        <v>-0.97</v>
      </c>
      <c r="F5" s="82">
        <f>AIDA!F328</f>
        <v>-6.66</v>
      </c>
      <c r="G5" s="82">
        <f>AIDA!G328</f>
        <v>-9.73</v>
      </c>
      <c r="H5" s="82">
        <f>AIDA!H328</f>
        <v>-15.97</v>
      </c>
      <c r="I5" s="82">
        <f>AIDA!I328</f>
        <v>-10.78</v>
      </c>
    </row>
    <row r="6" spans="1:9" x14ac:dyDescent="0.35">
      <c r="A6" s="79" t="s">
        <v>380</v>
      </c>
      <c r="B6" s="79"/>
      <c r="C6" s="79"/>
      <c r="D6" s="79"/>
      <c r="E6" s="117">
        <f>AIDA!E330</f>
        <v>-5.52</v>
      </c>
      <c r="F6" s="80">
        <f>AIDA!F330</f>
        <v>-15.16</v>
      </c>
      <c r="G6" s="80">
        <f>AIDA!G330</f>
        <v>-24.88</v>
      </c>
      <c r="H6" s="80">
        <f>AIDA!H330</f>
        <v>-31.41</v>
      </c>
      <c r="I6" s="80">
        <f>AIDA!I330</f>
        <v>-17.97</v>
      </c>
    </row>
    <row r="7" spans="1:9" x14ac:dyDescent="0.35">
      <c r="A7" s="81" t="s">
        <v>381</v>
      </c>
      <c r="B7" s="81"/>
      <c r="C7" s="81"/>
      <c r="D7" s="81"/>
      <c r="E7" s="117">
        <f>AIDA!E331</f>
        <v>-2.38</v>
      </c>
      <c r="F7" s="82">
        <f>AIDA!F331</f>
        <v>-13.59</v>
      </c>
      <c r="G7" s="82">
        <f>AIDA!G331</f>
        <v>-19.68</v>
      </c>
      <c r="H7" s="82">
        <f>AIDA!H331</f>
        <v>-45.51</v>
      </c>
      <c r="I7" s="82">
        <f>AIDA!I331</f>
        <v>-42.1</v>
      </c>
    </row>
    <row r="8" spans="1:9" x14ac:dyDescent="0.35">
      <c r="A8" s="79" t="s">
        <v>372</v>
      </c>
      <c r="B8" s="79"/>
      <c r="C8" s="79"/>
      <c r="D8" s="79"/>
      <c r="E8" s="117">
        <f>AIDA!E315</f>
        <v>0.17</v>
      </c>
      <c r="F8" s="80">
        <f>AIDA!F315</f>
        <v>0.43</v>
      </c>
      <c r="G8" s="80">
        <f>AIDA!G315</f>
        <v>0.39</v>
      </c>
      <c r="H8" s="80">
        <f>AIDA!H315</f>
        <v>0.49</v>
      </c>
      <c r="I8" s="80">
        <f>AIDA!I315</f>
        <v>0.57999999999999996</v>
      </c>
    </row>
    <row r="9" spans="1:9" x14ac:dyDescent="0.35">
      <c r="A9" s="27"/>
      <c r="B9" s="27"/>
      <c r="C9" s="27"/>
      <c r="D9" s="27"/>
      <c r="E9" s="117"/>
      <c r="F9" s="78"/>
      <c r="G9" s="78"/>
      <c r="H9" s="78"/>
      <c r="I9" s="78"/>
    </row>
    <row r="10" spans="1:9" x14ac:dyDescent="0.35">
      <c r="A10" s="85" t="s">
        <v>362</v>
      </c>
      <c r="B10" s="85"/>
      <c r="C10" s="85"/>
      <c r="D10" s="85"/>
      <c r="E10" s="117"/>
      <c r="F10" s="78"/>
      <c r="G10" s="78"/>
      <c r="H10" s="78"/>
      <c r="I10" s="78"/>
    </row>
    <row r="11" spans="1:9" x14ac:dyDescent="0.35">
      <c r="A11" s="67"/>
      <c r="B11" s="67"/>
      <c r="C11" s="67"/>
      <c r="D11" s="67"/>
      <c r="E11" s="117"/>
      <c r="F11" s="78"/>
      <c r="G11" s="78"/>
      <c r="H11" s="78"/>
      <c r="I11" s="78"/>
    </row>
    <row r="12" spans="1:9" x14ac:dyDescent="0.35">
      <c r="A12" s="81" t="s">
        <v>366</v>
      </c>
      <c r="B12" s="81"/>
      <c r="C12" s="81"/>
      <c r="D12" s="81"/>
      <c r="E12" s="117">
        <f>AIDA!E296</f>
        <v>0.64</v>
      </c>
      <c r="F12" s="82">
        <f>AIDA!F296</f>
        <v>1.07</v>
      </c>
      <c r="G12" s="82">
        <f>AIDA!G296</f>
        <v>1.28</v>
      </c>
      <c r="H12" s="82">
        <f>AIDA!H296</f>
        <v>0.97</v>
      </c>
      <c r="I12" s="82">
        <f>AIDA!I296</f>
        <v>1.1599999999999999</v>
      </c>
    </row>
    <row r="13" spans="1:9" x14ac:dyDescent="0.35">
      <c r="A13" s="79" t="s">
        <v>367</v>
      </c>
      <c r="B13" s="79"/>
      <c r="C13" s="79"/>
      <c r="D13" s="79"/>
      <c r="E13" s="117">
        <f>AIDA!E295</f>
        <v>0.41</v>
      </c>
      <c r="F13" s="80">
        <f>AIDA!F295</f>
        <v>0.72</v>
      </c>
      <c r="G13" s="80">
        <f>AIDA!G295</f>
        <v>0.86</v>
      </c>
      <c r="H13" s="80">
        <f>AIDA!H295</f>
        <v>0.56999999999999995</v>
      </c>
      <c r="I13" s="80">
        <f>AIDA!I295</f>
        <v>0.8</v>
      </c>
    </row>
    <row r="14" spans="1:9" x14ac:dyDescent="0.35">
      <c r="A14" s="81" t="s">
        <v>368</v>
      </c>
      <c r="B14" s="81"/>
      <c r="C14" s="81"/>
      <c r="D14" s="81"/>
      <c r="E14" s="116">
        <f>AIDA!E321</f>
        <v>309.14999999999998</v>
      </c>
      <c r="F14" s="83">
        <f>AIDA!F321</f>
        <v>125.43</v>
      </c>
      <c r="G14" s="83">
        <f>AIDA!G321</f>
        <v>118.55</v>
      </c>
      <c r="H14" s="83">
        <f>AIDA!H321</f>
        <v>149.77000000000001</v>
      </c>
      <c r="I14" s="83">
        <f>AIDA!I321</f>
        <v>123.15</v>
      </c>
    </row>
    <row r="15" spans="1:9" x14ac:dyDescent="0.35">
      <c r="A15" s="79" t="s">
        <v>369</v>
      </c>
      <c r="B15" s="79"/>
      <c r="C15" s="79"/>
      <c r="D15" s="79"/>
      <c r="E15" s="116">
        <f>AIDA!E320</f>
        <v>158.66999999999999</v>
      </c>
      <c r="F15" s="84">
        <f>AIDA!F320</f>
        <v>47.15</v>
      </c>
      <c r="G15" s="84">
        <f>AIDA!G320</f>
        <v>53.84</v>
      </c>
      <c r="H15" s="84">
        <f>AIDA!H320</f>
        <v>49.89</v>
      </c>
      <c r="I15" s="84">
        <f>AIDA!I320</f>
        <v>52.57</v>
      </c>
    </row>
    <row r="16" spans="1:9" x14ac:dyDescent="0.35">
      <c r="A16" s="81" t="s">
        <v>370</v>
      </c>
      <c r="B16" s="81"/>
      <c r="C16" s="81"/>
      <c r="D16" s="81"/>
      <c r="E16" s="116">
        <f>AIDA!E319</f>
        <v>0</v>
      </c>
      <c r="F16" s="83">
        <f>AIDA!F319</f>
        <v>199.57</v>
      </c>
      <c r="G16" s="83">
        <f>AIDA!G319</f>
        <v>241.66</v>
      </c>
      <c r="H16" s="83">
        <f>AIDA!H319</f>
        <v>211.12</v>
      </c>
      <c r="I16" s="83">
        <f>AIDA!I319</f>
        <v>194.1</v>
      </c>
    </row>
    <row r="17" spans="1:9" x14ac:dyDescent="0.35">
      <c r="A17" s="79" t="s">
        <v>371</v>
      </c>
      <c r="B17" s="79"/>
      <c r="C17" s="79"/>
      <c r="D17" s="79"/>
      <c r="E17" s="116">
        <f t="shared" ref="E17:I17" si="0">+E16+E15-E14</f>
        <v>-150.47999999999999</v>
      </c>
      <c r="F17" s="84">
        <f t="shared" si="0"/>
        <v>121.28999999999999</v>
      </c>
      <c r="G17" s="84">
        <f t="shared" si="0"/>
        <v>176.95</v>
      </c>
      <c r="H17" s="84">
        <f t="shared" si="0"/>
        <v>111.23999999999998</v>
      </c>
      <c r="I17" s="84">
        <f t="shared" si="0"/>
        <v>123.51999999999998</v>
      </c>
    </row>
    <row r="18" spans="1:9" x14ac:dyDescent="0.35">
      <c r="A18" s="27"/>
      <c r="B18" s="27"/>
      <c r="C18" s="27"/>
      <c r="D18" s="27"/>
      <c r="E18" s="117"/>
      <c r="F18" s="78"/>
      <c r="G18" s="78"/>
      <c r="H18" s="78"/>
      <c r="I18" s="78"/>
    </row>
    <row r="19" spans="1:9" x14ac:dyDescent="0.35">
      <c r="A19" s="85" t="s">
        <v>363</v>
      </c>
      <c r="B19" s="85"/>
      <c r="C19" s="85"/>
      <c r="D19" s="85"/>
      <c r="E19" s="117"/>
      <c r="F19" s="78"/>
      <c r="G19" s="78"/>
      <c r="H19" s="78"/>
      <c r="I19" s="78"/>
    </row>
    <row r="20" spans="1:9" x14ac:dyDescent="0.35">
      <c r="A20" s="81" t="s">
        <v>373</v>
      </c>
      <c r="B20" s="81"/>
      <c r="C20" s="81"/>
      <c r="D20" s="81"/>
      <c r="E20" s="117">
        <f>AIDA!E305</f>
        <v>11.36</v>
      </c>
      <c r="F20" s="82">
        <f>AIDA!F305</f>
        <v>2.4</v>
      </c>
      <c r="G20" s="82">
        <f>AIDA!G305</f>
        <v>0.66</v>
      </c>
      <c r="H20" s="82">
        <f>AIDA!H305</f>
        <v>0.28999999999999998</v>
      </c>
      <c r="I20" s="82">
        <f>AIDA!I305</f>
        <v>0.63</v>
      </c>
    </row>
    <row r="21" spans="1:9" x14ac:dyDescent="0.35">
      <c r="A21" s="79" t="s">
        <v>374</v>
      </c>
      <c r="B21" s="79"/>
      <c r="C21" s="79"/>
      <c r="D21" s="79"/>
      <c r="E21" s="117">
        <f>AIDA!E310</f>
        <v>0.03</v>
      </c>
      <c r="F21" s="80">
        <f>AIDA!F310</f>
        <v>0.54</v>
      </c>
      <c r="G21" s="80">
        <f>AIDA!G310</f>
        <v>0.73</v>
      </c>
      <c r="H21" s="80">
        <f>AIDA!H310</f>
        <v>1.03</v>
      </c>
      <c r="I21" s="80">
        <f>AIDA!I310</f>
        <v>1.4</v>
      </c>
    </row>
    <row r="22" spans="1:9" x14ac:dyDescent="0.35">
      <c r="A22" s="81" t="s">
        <v>375</v>
      </c>
      <c r="B22" s="81"/>
      <c r="C22" s="81"/>
      <c r="D22" s="81"/>
      <c r="E22" s="117">
        <f>-'Reclassified BS'!E26/'Profit&amp;Loss'!E11</f>
        <v>0.41880191274630657</v>
      </c>
      <c r="F22" s="82">
        <f>-'Reclassified BS'!F26/'Profit&amp;Loss'!F11</f>
        <v>6.7087045692920588</v>
      </c>
      <c r="G22" s="82">
        <f>-'Reclassified BS'!G26/'Profit&amp;Loss'!G11</f>
        <v>23.025364033699883</v>
      </c>
      <c r="H22" s="82">
        <f>-'Reclassified BS'!H26/'Profit&amp;Loss'!H11</f>
        <v>38.821935597027604</v>
      </c>
      <c r="I22" s="82">
        <f>-'Reclassified BS'!I26/'Profit&amp;Loss'!I11</f>
        <v>15.917792268751079</v>
      </c>
    </row>
    <row r="23" spans="1:9" x14ac:dyDescent="0.35">
      <c r="A23" s="79" t="s">
        <v>376</v>
      </c>
      <c r="B23" s="79"/>
      <c r="C23" s="79"/>
      <c r="D23" s="79"/>
      <c r="E23" s="120">
        <f>CashFlow!F16/'Profit&amp;Loss'!E11</f>
        <v>1.2059556408990348</v>
      </c>
      <c r="F23" s="120">
        <f>CashFlow!G16/'Profit&amp;Loss'!F11</f>
        <v>-1.867548094588064</v>
      </c>
      <c r="G23" s="120">
        <f>CashFlow!H16/'Profit&amp;Loss'!G11</f>
        <v>-0.23332733925235014</v>
      </c>
      <c r="H23" s="120">
        <f>CashFlow!I16/'Profit&amp;Loss'!H11</f>
        <v>-4.740955453542739</v>
      </c>
      <c r="I23" s="120">
        <f>CashFlow!J16/'Profit&amp;Loss'!I11</f>
        <v>0</v>
      </c>
    </row>
    <row r="24" spans="1:9" x14ac:dyDescent="0.35">
      <c r="A24" s="81" t="s">
        <v>382</v>
      </c>
      <c r="B24" s="81"/>
      <c r="C24" s="81"/>
      <c r="D24" s="81"/>
      <c r="E24" s="117">
        <f>AIDA!E304</f>
        <v>12.94</v>
      </c>
      <c r="F24" s="82">
        <f>AIDA!F304</f>
        <v>5.41</v>
      </c>
      <c r="G24" s="82">
        <f>AIDA!G304</f>
        <v>4.6500000000000004</v>
      </c>
      <c r="H24" s="82">
        <f>AIDA!H304</f>
        <v>5.19</v>
      </c>
      <c r="I24" s="82">
        <f>AIDA!I304</f>
        <v>8.57</v>
      </c>
    </row>
    <row r="25" spans="1:9" x14ac:dyDescent="0.35">
      <c r="A25" s="25"/>
      <c r="B25" s="25"/>
      <c r="C25" s="25"/>
      <c r="D25" s="25"/>
      <c r="E25" s="78"/>
      <c r="F25" s="78"/>
      <c r="G25" s="78"/>
      <c r="H25" s="78"/>
      <c r="I25" s="78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9"/>
  <sheetViews>
    <sheetView showGridLines="0" zoomScale="80" zoomScaleNormal="80" workbookViewId="0">
      <selection activeCell="E4" sqref="E4"/>
    </sheetView>
  </sheetViews>
  <sheetFormatPr defaultRowHeight="14.5" customHeight="1" x14ac:dyDescent="0.35"/>
  <cols>
    <col min="1" max="9" width="20.6328125" style="1" customWidth="1"/>
  </cols>
  <sheetData>
    <row r="1" spans="1:9" ht="14.5" customHeight="1" x14ac:dyDescent="0.35">
      <c r="A1" s="18" t="s">
        <v>0</v>
      </c>
      <c r="B1" s="68"/>
    </row>
    <row r="2" spans="1:9" ht="14.5" customHeight="1" x14ac:dyDescent="0.35">
      <c r="A2" s="2"/>
    </row>
    <row r="3" spans="1:9" ht="34" customHeight="1" x14ac:dyDescent="0.35">
      <c r="A3" s="3"/>
      <c r="B3" s="69" t="s">
        <v>1</v>
      </c>
      <c r="C3" s="69"/>
      <c r="D3" s="19"/>
      <c r="E3" s="5" t="s">
        <v>6</v>
      </c>
      <c r="F3" s="5" t="s">
        <v>5</v>
      </c>
      <c r="G3" s="5" t="s">
        <v>4</v>
      </c>
      <c r="H3" s="5" t="s">
        <v>3</v>
      </c>
      <c r="I3" s="5" t="s">
        <v>2</v>
      </c>
    </row>
    <row r="4" spans="1:9" ht="34" customHeight="1" x14ac:dyDescent="0.35">
      <c r="A4" s="6"/>
      <c r="B4" s="7"/>
      <c r="C4" s="7"/>
      <c r="D4" s="7"/>
      <c r="E4" s="121" t="s">
        <v>392</v>
      </c>
      <c r="F4" s="87" t="s">
        <v>7</v>
      </c>
      <c r="G4" s="87" t="s">
        <v>7</v>
      </c>
      <c r="H4" s="87" t="s">
        <v>7</v>
      </c>
      <c r="I4" s="87" t="s">
        <v>7</v>
      </c>
    </row>
    <row r="5" spans="1:9" ht="14.5" customHeight="1" x14ac:dyDescent="0.35">
      <c r="A5" s="8"/>
      <c r="B5" s="70" t="s">
        <v>8</v>
      </c>
      <c r="C5" s="70"/>
      <c r="D5" s="9"/>
      <c r="E5" s="10"/>
      <c r="F5" s="10"/>
      <c r="G5" s="10"/>
      <c r="H5" s="10"/>
      <c r="I5" s="10"/>
    </row>
    <row r="6" spans="1:9" ht="14.5" customHeight="1" x14ac:dyDescent="0.35">
      <c r="A6" s="11"/>
      <c r="B6" s="71" t="s">
        <v>9</v>
      </c>
      <c r="C6" s="71"/>
      <c r="D6" s="20"/>
      <c r="E6" s="86">
        <v>0</v>
      </c>
      <c r="F6" s="86">
        <v>0</v>
      </c>
      <c r="G6" s="86">
        <v>0</v>
      </c>
      <c r="H6" s="86">
        <v>0</v>
      </c>
      <c r="I6" s="86">
        <v>0</v>
      </c>
    </row>
    <row r="7" spans="1:9" ht="14.5" customHeight="1" x14ac:dyDescent="0.35">
      <c r="A7" s="11"/>
      <c r="B7" s="71" t="s">
        <v>10</v>
      </c>
      <c r="C7" s="71"/>
      <c r="D7" s="20"/>
      <c r="E7" s="86">
        <v>0</v>
      </c>
      <c r="F7" s="86">
        <v>0</v>
      </c>
      <c r="G7" s="86">
        <v>0</v>
      </c>
      <c r="H7" s="86">
        <v>0</v>
      </c>
      <c r="I7" s="86">
        <v>0</v>
      </c>
    </row>
    <row r="8" spans="1:9" ht="14.5" customHeight="1" x14ac:dyDescent="0.35">
      <c r="A8" s="11"/>
      <c r="B8" s="13"/>
      <c r="C8" s="13"/>
      <c r="D8" s="13"/>
      <c r="E8" s="7"/>
      <c r="F8" s="7"/>
      <c r="G8" s="7"/>
      <c r="H8" s="7"/>
      <c r="I8" s="7"/>
    </row>
    <row r="9" spans="1:9" ht="14.5" customHeight="1" x14ac:dyDescent="0.35">
      <c r="A9" s="11"/>
      <c r="B9" s="72" t="s">
        <v>11</v>
      </c>
      <c r="C9" s="72"/>
      <c r="D9" s="12"/>
      <c r="E9" s="86">
        <v>124318269</v>
      </c>
      <c r="F9" s="86">
        <v>111104451</v>
      </c>
      <c r="G9" s="86">
        <v>105610949</v>
      </c>
      <c r="H9" s="86">
        <v>88456401</v>
      </c>
      <c r="I9" s="86">
        <v>76484954</v>
      </c>
    </row>
    <row r="10" spans="1:9" ht="14.5" customHeight="1" x14ac:dyDescent="0.35">
      <c r="A10" s="11"/>
      <c r="B10" s="72" t="s">
        <v>12</v>
      </c>
      <c r="C10" s="72"/>
      <c r="D10" s="12"/>
      <c r="E10" s="86">
        <v>109966768</v>
      </c>
      <c r="F10" s="86">
        <v>94353334</v>
      </c>
      <c r="G10" s="86">
        <v>83290993</v>
      </c>
      <c r="H10" s="86">
        <v>68261982</v>
      </c>
      <c r="I10" s="86">
        <v>58230377</v>
      </c>
    </row>
    <row r="11" spans="1:9" ht="14.5" customHeight="1" x14ac:dyDescent="0.35">
      <c r="A11" s="11"/>
      <c r="B11" s="72" t="s">
        <v>13</v>
      </c>
      <c r="C11" s="72"/>
      <c r="D11" s="12"/>
      <c r="E11" s="86">
        <v>71335</v>
      </c>
      <c r="F11" s="86">
        <v>173519</v>
      </c>
      <c r="G11" s="86">
        <v>127147</v>
      </c>
      <c r="H11" s="86">
        <v>80775</v>
      </c>
      <c r="I11" s="86">
        <v>34403</v>
      </c>
    </row>
    <row r="12" spans="1:9" ht="14.5" customHeight="1" x14ac:dyDescent="0.35">
      <c r="A12" s="11"/>
      <c r="B12" s="72" t="s">
        <v>14</v>
      </c>
      <c r="C12" s="72"/>
      <c r="D12" s="12"/>
      <c r="E12" s="86">
        <v>240200</v>
      </c>
      <c r="F12" s="86">
        <v>590264</v>
      </c>
      <c r="G12" s="86">
        <v>701621</v>
      </c>
      <c r="H12" s="86">
        <v>452459</v>
      </c>
      <c r="I12" s="86">
        <v>267136</v>
      </c>
    </row>
    <row r="13" spans="1:9" ht="14.5" customHeight="1" x14ac:dyDescent="0.35">
      <c r="A13" s="11"/>
      <c r="B13" s="72" t="s">
        <v>15</v>
      </c>
      <c r="C13" s="72"/>
      <c r="D13" s="12"/>
      <c r="E13" s="86">
        <v>0</v>
      </c>
      <c r="F13" s="86">
        <v>3040</v>
      </c>
      <c r="G13" s="86">
        <v>3040</v>
      </c>
      <c r="H13" s="86">
        <v>3040</v>
      </c>
      <c r="I13" s="86">
        <v>2960</v>
      </c>
    </row>
    <row r="14" spans="1:9" ht="14.5" customHeight="1" x14ac:dyDescent="0.35">
      <c r="A14" s="11"/>
      <c r="B14" s="72" t="s">
        <v>16</v>
      </c>
      <c r="C14" s="72"/>
      <c r="D14" s="12"/>
      <c r="E14" s="86">
        <v>53022</v>
      </c>
      <c r="F14" s="86">
        <v>154512</v>
      </c>
      <c r="G14" s="86">
        <v>58211</v>
      </c>
      <c r="H14" s="86">
        <v>69224</v>
      </c>
      <c r="I14" s="86">
        <v>93702</v>
      </c>
    </row>
    <row r="15" spans="1:9" ht="14.5" customHeight="1" x14ac:dyDescent="0.35">
      <c r="A15" s="11"/>
      <c r="B15" s="72" t="s">
        <v>17</v>
      </c>
      <c r="C15" s="72"/>
      <c r="D15" s="12"/>
      <c r="E15" s="86">
        <v>108925305</v>
      </c>
      <c r="F15" s="86">
        <v>92466254</v>
      </c>
      <c r="G15" s="86">
        <v>81812787</v>
      </c>
      <c r="H15" s="86">
        <v>67159319</v>
      </c>
      <c r="I15" s="86">
        <v>56900844</v>
      </c>
    </row>
    <row r="16" spans="1:9" ht="14.5" customHeight="1" x14ac:dyDescent="0.35">
      <c r="A16" s="11"/>
      <c r="B16" s="72" t="s">
        <v>18</v>
      </c>
      <c r="C16" s="72"/>
      <c r="D16" s="12"/>
      <c r="E16" s="86">
        <v>108925305</v>
      </c>
      <c r="F16" s="86">
        <v>92466254</v>
      </c>
      <c r="G16" s="86">
        <v>81812787</v>
      </c>
      <c r="H16" s="86">
        <v>67159319</v>
      </c>
      <c r="I16" s="86">
        <v>56900844</v>
      </c>
    </row>
    <row r="17" spans="1:9" ht="14.5" customHeight="1" x14ac:dyDescent="0.35">
      <c r="A17" s="11"/>
      <c r="B17" s="72" t="s">
        <v>19</v>
      </c>
      <c r="C17" s="72"/>
      <c r="D17" s="12"/>
      <c r="E17" s="86">
        <v>3040</v>
      </c>
      <c r="F17" s="86">
        <v>217982</v>
      </c>
      <c r="G17" s="86">
        <v>0</v>
      </c>
      <c r="H17" s="86">
        <v>0</v>
      </c>
      <c r="I17" s="86">
        <v>18161</v>
      </c>
    </row>
    <row r="18" spans="1:9" ht="14.5" customHeight="1" x14ac:dyDescent="0.35">
      <c r="A18" s="11"/>
      <c r="B18" s="72" t="s">
        <v>20</v>
      </c>
      <c r="C18" s="72"/>
      <c r="D18" s="12"/>
      <c r="E18" s="86">
        <v>673866</v>
      </c>
      <c r="F18" s="86">
        <v>747763</v>
      </c>
      <c r="G18" s="86">
        <v>588187</v>
      </c>
      <c r="H18" s="86">
        <v>497165</v>
      </c>
      <c r="I18" s="86">
        <v>913171</v>
      </c>
    </row>
    <row r="19" spans="1:9" ht="14.5" customHeight="1" x14ac:dyDescent="0.35">
      <c r="A19" s="11"/>
      <c r="B19" s="72" t="s">
        <v>21</v>
      </c>
      <c r="C19" s="72"/>
      <c r="D19" s="12"/>
      <c r="E19" s="87"/>
      <c r="F19" s="87"/>
      <c r="G19" s="87"/>
      <c r="H19" s="87"/>
      <c r="I19" s="87"/>
    </row>
    <row r="20" spans="1:9" ht="14.5" customHeight="1" x14ac:dyDescent="0.35">
      <c r="A20" s="11"/>
      <c r="B20" s="13"/>
      <c r="C20" s="13"/>
      <c r="D20" s="13"/>
      <c r="E20" s="7"/>
      <c r="F20" s="7"/>
      <c r="G20" s="7"/>
      <c r="H20" s="7"/>
      <c r="I20" s="7"/>
    </row>
    <row r="21" spans="1:9" ht="14.5" customHeight="1" x14ac:dyDescent="0.35">
      <c r="A21" s="11"/>
      <c r="B21" s="72" t="s">
        <v>22</v>
      </c>
      <c r="C21" s="72"/>
      <c r="D21" s="12"/>
      <c r="E21" s="86">
        <v>13905138</v>
      </c>
      <c r="F21" s="86">
        <v>16282847</v>
      </c>
      <c r="G21" s="86">
        <v>21846736</v>
      </c>
      <c r="H21" s="86">
        <v>19722614</v>
      </c>
      <c r="I21" s="86">
        <v>17825224</v>
      </c>
    </row>
    <row r="22" spans="1:9" ht="14.5" customHeight="1" x14ac:dyDescent="0.35">
      <c r="A22" s="11"/>
      <c r="B22" s="72" t="s">
        <v>23</v>
      </c>
      <c r="C22" s="72"/>
      <c r="D22" s="12"/>
      <c r="E22" s="87"/>
      <c r="F22" s="87"/>
      <c r="G22" s="87"/>
      <c r="H22" s="87"/>
      <c r="I22" s="87"/>
    </row>
    <row r="23" spans="1:9" ht="14.5" customHeight="1" x14ac:dyDescent="0.35">
      <c r="A23" s="11"/>
      <c r="B23" s="72" t="s">
        <v>24</v>
      </c>
      <c r="C23" s="72"/>
      <c r="D23" s="12"/>
      <c r="E23" s="86">
        <v>0</v>
      </c>
      <c r="F23" s="86">
        <v>0</v>
      </c>
      <c r="G23" s="86">
        <v>0</v>
      </c>
      <c r="H23" s="86">
        <v>0</v>
      </c>
      <c r="I23" s="86">
        <v>0</v>
      </c>
    </row>
    <row r="24" spans="1:9" ht="14.5" customHeight="1" x14ac:dyDescent="0.35">
      <c r="A24" s="11"/>
      <c r="B24" s="72" t="s">
        <v>25</v>
      </c>
      <c r="C24" s="72"/>
      <c r="D24" s="12"/>
      <c r="E24" s="86">
        <v>5426706</v>
      </c>
      <c r="F24" s="86">
        <v>7586840</v>
      </c>
      <c r="G24" s="86">
        <v>13607365</v>
      </c>
      <c r="H24" s="86">
        <v>11711346</v>
      </c>
      <c r="I24" s="86">
        <v>9675592</v>
      </c>
    </row>
    <row r="25" spans="1:9" ht="14.5" customHeight="1" x14ac:dyDescent="0.35">
      <c r="A25" s="11"/>
      <c r="B25" s="72" t="s">
        <v>26</v>
      </c>
      <c r="C25" s="72"/>
      <c r="D25" s="12"/>
      <c r="E25" s="86">
        <v>6574195</v>
      </c>
      <c r="F25" s="86">
        <v>7637333</v>
      </c>
      <c r="G25" s="86">
        <v>7241975</v>
      </c>
      <c r="H25" s="86">
        <v>6884215</v>
      </c>
      <c r="I25" s="86">
        <v>6920261</v>
      </c>
    </row>
    <row r="26" spans="1:9" ht="14.5" customHeight="1" x14ac:dyDescent="0.35">
      <c r="A26" s="11"/>
      <c r="B26" s="72" t="s">
        <v>27</v>
      </c>
      <c r="C26" s="72"/>
      <c r="D26" s="12"/>
      <c r="E26" s="86">
        <v>651277</v>
      </c>
      <c r="F26" s="86">
        <v>848670</v>
      </c>
      <c r="G26" s="86">
        <v>850270</v>
      </c>
      <c r="H26" s="86">
        <v>696360</v>
      </c>
      <c r="I26" s="86">
        <v>530911</v>
      </c>
    </row>
    <row r="27" spans="1:9" ht="14.5" customHeight="1" x14ac:dyDescent="0.35">
      <c r="A27" s="11"/>
      <c r="B27" s="72" t="s">
        <v>28</v>
      </c>
      <c r="C27" s="72"/>
      <c r="D27" s="12"/>
      <c r="E27" s="86">
        <v>1252960</v>
      </c>
      <c r="F27" s="86">
        <v>210004</v>
      </c>
      <c r="G27" s="86">
        <v>147126</v>
      </c>
      <c r="H27" s="86">
        <v>430693</v>
      </c>
      <c r="I27" s="86">
        <v>698460</v>
      </c>
    </row>
    <row r="28" spans="1:9" ht="14.5" customHeight="1" x14ac:dyDescent="0.35">
      <c r="A28" s="11"/>
      <c r="B28" s="72" t="s">
        <v>29</v>
      </c>
      <c r="C28" s="72"/>
      <c r="D28" s="12"/>
      <c r="E28" s="87"/>
      <c r="F28" s="87"/>
      <c r="G28" s="87"/>
      <c r="H28" s="87"/>
      <c r="I28" s="87"/>
    </row>
    <row r="29" spans="1:9" ht="14.5" customHeight="1" x14ac:dyDescent="0.35">
      <c r="A29" s="11"/>
      <c r="B29" s="13"/>
      <c r="C29" s="13"/>
      <c r="D29" s="13"/>
      <c r="E29" s="7"/>
      <c r="F29" s="7"/>
      <c r="G29" s="7"/>
      <c r="H29" s="7"/>
      <c r="I29" s="7"/>
    </row>
    <row r="30" spans="1:9" ht="14.5" customHeight="1" x14ac:dyDescent="0.35">
      <c r="A30" s="11"/>
      <c r="B30" s="72" t="s">
        <v>30</v>
      </c>
      <c r="C30" s="72"/>
      <c r="D30" s="12"/>
      <c r="E30" s="86">
        <v>446363</v>
      </c>
      <c r="F30" s="86">
        <v>468270</v>
      </c>
      <c r="G30" s="86">
        <v>473220</v>
      </c>
      <c r="H30" s="86">
        <v>471805</v>
      </c>
      <c r="I30" s="86">
        <v>429353</v>
      </c>
    </row>
    <row r="31" spans="1:9" ht="14.5" customHeight="1" x14ac:dyDescent="0.35">
      <c r="A31" s="11"/>
      <c r="B31" s="72" t="s">
        <v>31</v>
      </c>
      <c r="C31" s="72"/>
      <c r="D31" s="12"/>
      <c r="E31" s="86">
        <v>0</v>
      </c>
      <c r="F31" s="86">
        <v>0</v>
      </c>
      <c r="G31" s="86">
        <v>0</v>
      </c>
      <c r="H31" s="86">
        <v>0</v>
      </c>
      <c r="I31" s="86">
        <v>0</v>
      </c>
    </row>
    <row r="32" spans="1:9" ht="14.5" customHeight="1" x14ac:dyDescent="0.35">
      <c r="A32" s="11"/>
      <c r="B32" s="72" t="s">
        <v>32</v>
      </c>
      <c r="C32" s="72"/>
      <c r="D32" s="12"/>
      <c r="E32" s="86">
        <v>1518</v>
      </c>
      <c r="F32" s="86">
        <v>19534</v>
      </c>
      <c r="G32" s="86">
        <v>19534</v>
      </c>
      <c r="H32" s="86">
        <v>19534</v>
      </c>
      <c r="I32" s="86">
        <v>20837</v>
      </c>
    </row>
    <row r="33" spans="1:9" ht="14.5" customHeight="1" x14ac:dyDescent="0.35">
      <c r="A33" s="11"/>
      <c r="B33" s="72" t="s">
        <v>33</v>
      </c>
      <c r="C33" s="72"/>
      <c r="D33" s="12"/>
      <c r="E33" s="86">
        <v>0</v>
      </c>
      <c r="F33" s="86">
        <v>18016</v>
      </c>
      <c r="G33" s="86">
        <v>18016</v>
      </c>
      <c r="H33" s="86">
        <v>18016</v>
      </c>
      <c r="I33" s="86">
        <v>18016</v>
      </c>
    </row>
    <row r="34" spans="1:9" ht="14.5" customHeight="1" x14ac:dyDescent="0.35">
      <c r="A34" s="11"/>
      <c r="B34" s="72" t="s">
        <v>34</v>
      </c>
      <c r="C34" s="72"/>
      <c r="D34" s="12"/>
      <c r="E34" s="86">
        <v>0</v>
      </c>
      <c r="F34" s="86">
        <v>0</v>
      </c>
      <c r="G34" s="86">
        <v>0</v>
      </c>
      <c r="H34" s="86">
        <v>0</v>
      </c>
      <c r="I34" s="86">
        <v>0</v>
      </c>
    </row>
    <row r="35" spans="1:9" ht="14.5" customHeight="1" x14ac:dyDescent="0.35">
      <c r="A35" s="11"/>
      <c r="B35" s="72" t="s">
        <v>35</v>
      </c>
      <c r="C35" s="72"/>
      <c r="D35" s="12"/>
      <c r="E35" s="86">
        <v>0</v>
      </c>
      <c r="F35" s="86">
        <v>0</v>
      </c>
      <c r="G35" s="86">
        <v>0</v>
      </c>
      <c r="H35" s="86">
        <v>0</v>
      </c>
      <c r="I35" s="86">
        <v>0</v>
      </c>
    </row>
    <row r="36" spans="1:9" ht="14.5" customHeight="1" x14ac:dyDescent="0.35">
      <c r="A36" s="11"/>
      <c r="B36" s="72" t="s">
        <v>36</v>
      </c>
      <c r="C36" s="72"/>
      <c r="D36" s="12"/>
      <c r="E36" s="86">
        <v>0</v>
      </c>
      <c r="F36" s="86">
        <v>0</v>
      </c>
      <c r="G36" s="86">
        <v>0</v>
      </c>
      <c r="H36" s="86">
        <v>0</v>
      </c>
      <c r="I36" s="86">
        <v>0</v>
      </c>
    </row>
    <row r="37" spans="1:9" ht="14.5" customHeight="1" x14ac:dyDescent="0.35">
      <c r="A37" s="11"/>
      <c r="B37" s="72" t="s">
        <v>37</v>
      </c>
      <c r="C37" s="72"/>
      <c r="D37" s="12"/>
      <c r="E37" s="86">
        <v>1518</v>
      </c>
      <c r="F37" s="86">
        <v>1518</v>
      </c>
      <c r="G37" s="86">
        <v>1518</v>
      </c>
      <c r="H37" s="86">
        <v>1518</v>
      </c>
      <c r="I37" s="86">
        <v>2821</v>
      </c>
    </row>
    <row r="38" spans="1:9" ht="14.5" customHeight="1" x14ac:dyDescent="0.35">
      <c r="A38" s="11"/>
      <c r="B38" s="72" t="s">
        <v>38</v>
      </c>
      <c r="C38" s="72"/>
      <c r="D38" s="12"/>
      <c r="E38" s="86">
        <v>444845</v>
      </c>
      <c r="F38" s="86">
        <v>448736</v>
      </c>
      <c r="G38" s="86">
        <v>453686</v>
      </c>
      <c r="H38" s="86">
        <v>452271</v>
      </c>
      <c r="I38" s="86">
        <v>408516</v>
      </c>
    </row>
    <row r="39" spans="1:9" ht="14.5" customHeight="1" x14ac:dyDescent="0.35">
      <c r="A39" s="11"/>
      <c r="B39" s="72" t="s">
        <v>39</v>
      </c>
      <c r="C39" s="72"/>
      <c r="D39" s="12"/>
      <c r="E39" s="86">
        <v>0</v>
      </c>
      <c r="F39" s="86">
        <v>0</v>
      </c>
      <c r="G39" s="86">
        <v>0</v>
      </c>
      <c r="H39" s="86">
        <v>0</v>
      </c>
      <c r="I39" s="86">
        <v>0</v>
      </c>
    </row>
    <row r="40" spans="1:9" ht="14.5" customHeight="1" x14ac:dyDescent="0.35">
      <c r="A40" s="11"/>
      <c r="B40" s="72" t="s">
        <v>40</v>
      </c>
      <c r="C40" s="72"/>
      <c r="D40" s="12"/>
      <c r="E40" s="86">
        <v>0</v>
      </c>
      <c r="F40" s="86">
        <v>0</v>
      </c>
      <c r="G40" s="86">
        <v>0</v>
      </c>
      <c r="H40" s="86">
        <v>0</v>
      </c>
      <c r="I40" s="86">
        <v>0</v>
      </c>
    </row>
    <row r="41" spans="1:9" ht="14.5" customHeight="1" x14ac:dyDescent="0.35">
      <c r="A41" s="11"/>
      <c r="B41" s="72" t="s">
        <v>41</v>
      </c>
      <c r="C41" s="72"/>
      <c r="D41" s="12"/>
      <c r="E41" s="86">
        <v>0</v>
      </c>
      <c r="F41" s="86">
        <v>0</v>
      </c>
      <c r="G41" s="86">
        <v>0</v>
      </c>
      <c r="H41" s="86">
        <v>0</v>
      </c>
      <c r="I41" s="86">
        <v>0</v>
      </c>
    </row>
    <row r="42" spans="1:9" ht="14.5" customHeight="1" x14ac:dyDescent="0.35">
      <c r="A42" s="11"/>
      <c r="B42" s="72" t="s">
        <v>42</v>
      </c>
      <c r="C42" s="72"/>
      <c r="D42" s="12"/>
      <c r="E42" s="86">
        <v>0</v>
      </c>
      <c r="F42" s="86">
        <v>0</v>
      </c>
      <c r="G42" s="86">
        <v>0</v>
      </c>
      <c r="H42" s="86">
        <v>0</v>
      </c>
      <c r="I42" s="86">
        <v>0</v>
      </c>
    </row>
    <row r="43" spans="1:9" ht="14.5" customHeight="1" x14ac:dyDescent="0.35">
      <c r="A43" s="11"/>
      <c r="B43" s="72" t="s">
        <v>43</v>
      </c>
      <c r="C43" s="72"/>
      <c r="D43" s="12"/>
      <c r="E43" s="86">
        <v>0</v>
      </c>
      <c r="F43" s="86">
        <v>0</v>
      </c>
      <c r="G43" s="86">
        <v>0</v>
      </c>
      <c r="H43" s="86">
        <v>0</v>
      </c>
      <c r="I43" s="86">
        <v>0</v>
      </c>
    </row>
    <row r="44" spans="1:9" ht="14.5" customHeight="1" x14ac:dyDescent="0.35">
      <c r="A44" s="11"/>
      <c r="B44" s="72" t="s">
        <v>44</v>
      </c>
      <c r="C44" s="72"/>
      <c r="D44" s="12"/>
      <c r="E44" s="86">
        <v>0</v>
      </c>
      <c r="F44" s="86">
        <v>0</v>
      </c>
      <c r="G44" s="86">
        <v>0</v>
      </c>
      <c r="H44" s="86">
        <v>0</v>
      </c>
      <c r="I44" s="86">
        <v>0</v>
      </c>
    </row>
    <row r="45" spans="1:9" ht="14.5" customHeight="1" x14ac:dyDescent="0.35">
      <c r="A45" s="11"/>
      <c r="B45" s="72" t="s">
        <v>45</v>
      </c>
      <c r="C45" s="72"/>
      <c r="D45" s="12"/>
      <c r="E45" s="86">
        <v>0</v>
      </c>
      <c r="F45" s="86">
        <v>0</v>
      </c>
      <c r="G45" s="86">
        <v>0</v>
      </c>
      <c r="H45" s="86">
        <v>0</v>
      </c>
      <c r="I45" s="86">
        <v>0</v>
      </c>
    </row>
    <row r="46" spans="1:9" ht="14.5" customHeight="1" x14ac:dyDescent="0.35">
      <c r="A46" s="11"/>
      <c r="B46" s="72" t="s">
        <v>46</v>
      </c>
      <c r="C46" s="72"/>
      <c r="D46" s="12"/>
      <c r="E46" s="86">
        <v>0</v>
      </c>
      <c r="F46" s="86">
        <v>0</v>
      </c>
      <c r="G46" s="86">
        <v>0</v>
      </c>
      <c r="H46" s="86">
        <v>0</v>
      </c>
      <c r="I46" s="86">
        <v>0</v>
      </c>
    </row>
    <row r="47" spans="1:9" ht="14.5" customHeight="1" x14ac:dyDescent="0.35">
      <c r="A47" s="11"/>
      <c r="B47" s="72" t="s">
        <v>47</v>
      </c>
      <c r="C47" s="72"/>
      <c r="D47" s="12"/>
      <c r="E47" s="86">
        <v>0</v>
      </c>
      <c r="F47" s="86">
        <v>0</v>
      </c>
      <c r="G47" s="86">
        <v>0</v>
      </c>
      <c r="H47" s="86">
        <v>0</v>
      </c>
      <c r="I47" s="86">
        <v>0</v>
      </c>
    </row>
    <row r="48" spans="1:9" ht="14.5" customHeight="1" x14ac:dyDescent="0.35">
      <c r="A48" s="11"/>
      <c r="B48" s="72" t="s">
        <v>48</v>
      </c>
      <c r="C48" s="72"/>
      <c r="D48" s="12"/>
      <c r="E48" s="86">
        <v>444845</v>
      </c>
      <c r="F48" s="86">
        <v>448736</v>
      </c>
      <c r="G48" s="86">
        <v>453686</v>
      </c>
      <c r="H48" s="86">
        <v>452271</v>
      </c>
      <c r="I48" s="86">
        <v>408516</v>
      </c>
    </row>
    <row r="49" spans="1:9" ht="14.5" customHeight="1" x14ac:dyDescent="0.35">
      <c r="A49" s="11"/>
      <c r="B49" s="72" t="s">
        <v>49</v>
      </c>
      <c r="C49" s="72"/>
      <c r="D49" s="12"/>
      <c r="E49" s="86">
        <v>0</v>
      </c>
      <c r="F49" s="86">
        <v>0</v>
      </c>
      <c r="G49" s="86">
        <v>0</v>
      </c>
      <c r="H49" s="86">
        <v>0</v>
      </c>
      <c r="I49" s="86">
        <v>0</v>
      </c>
    </row>
    <row r="50" spans="1:9" ht="14.5" customHeight="1" x14ac:dyDescent="0.35">
      <c r="A50" s="11"/>
      <c r="B50" s="72" t="s">
        <v>50</v>
      </c>
      <c r="C50" s="72"/>
      <c r="D50" s="12"/>
      <c r="E50" s="86">
        <v>444845</v>
      </c>
      <c r="F50" s="86">
        <v>448736</v>
      </c>
      <c r="G50" s="86">
        <v>453686</v>
      </c>
      <c r="H50" s="86">
        <v>452271</v>
      </c>
      <c r="I50" s="86">
        <v>408516</v>
      </c>
    </row>
    <row r="51" spans="1:9" ht="14.5" customHeight="1" x14ac:dyDescent="0.35">
      <c r="A51" s="11"/>
      <c r="B51" s="72" t="s">
        <v>51</v>
      </c>
      <c r="C51" s="72"/>
      <c r="D51" s="12"/>
      <c r="E51" s="86">
        <v>0</v>
      </c>
      <c r="F51" s="86">
        <v>0</v>
      </c>
      <c r="G51" s="86">
        <v>0</v>
      </c>
      <c r="H51" s="86">
        <v>0</v>
      </c>
      <c r="I51" s="86">
        <v>0</v>
      </c>
    </row>
    <row r="52" spans="1:9" ht="14.5" customHeight="1" x14ac:dyDescent="0.35">
      <c r="A52" s="11"/>
      <c r="B52" s="72" t="s">
        <v>52</v>
      </c>
      <c r="C52" s="72"/>
      <c r="D52" s="12"/>
      <c r="E52" s="86">
        <v>0</v>
      </c>
      <c r="F52" s="86">
        <v>0</v>
      </c>
      <c r="G52" s="86">
        <v>0</v>
      </c>
      <c r="H52" s="86">
        <v>0</v>
      </c>
      <c r="I52" s="86">
        <v>0</v>
      </c>
    </row>
    <row r="53" spans="1:9" ht="14.5" customHeight="1" x14ac:dyDescent="0.35">
      <c r="A53" s="11"/>
      <c r="B53" s="72" t="s">
        <v>53</v>
      </c>
      <c r="C53" s="72"/>
      <c r="D53" s="12"/>
      <c r="E53" s="86">
        <v>0</v>
      </c>
      <c r="F53" s="86">
        <v>0</v>
      </c>
      <c r="G53" s="86">
        <v>0</v>
      </c>
      <c r="H53" s="86">
        <v>0</v>
      </c>
      <c r="I53" s="86">
        <v>0</v>
      </c>
    </row>
    <row r="54" spans="1:9" ht="14.5" customHeight="1" x14ac:dyDescent="0.35">
      <c r="A54" s="11"/>
      <c r="B54" s="72" t="s">
        <v>54</v>
      </c>
      <c r="C54" s="72"/>
      <c r="D54" s="12"/>
      <c r="E54" s="86">
        <v>0</v>
      </c>
      <c r="F54" s="86">
        <v>0</v>
      </c>
      <c r="G54" s="86">
        <v>0</v>
      </c>
      <c r="H54" s="86">
        <v>0</v>
      </c>
      <c r="I54" s="86">
        <v>0</v>
      </c>
    </row>
    <row r="55" spans="1:9" ht="14.5" customHeight="1" x14ac:dyDescent="0.35">
      <c r="A55" s="11"/>
      <c r="B55" s="13"/>
      <c r="C55" s="13"/>
      <c r="D55" s="13"/>
      <c r="E55" s="7"/>
      <c r="F55" s="7"/>
      <c r="G55" s="7"/>
      <c r="H55" s="7"/>
      <c r="I55" s="7"/>
    </row>
    <row r="56" spans="1:9" ht="14.5" customHeight="1" x14ac:dyDescent="0.35">
      <c r="A56" s="11"/>
      <c r="B56" s="72" t="s">
        <v>55</v>
      </c>
      <c r="C56" s="72"/>
      <c r="D56" s="12"/>
      <c r="E56" s="86">
        <v>24906527</v>
      </c>
      <c r="F56" s="86">
        <v>27555568</v>
      </c>
      <c r="G56" s="86">
        <v>31696478</v>
      </c>
      <c r="H56" s="86">
        <v>31017396</v>
      </c>
      <c r="I56" s="86">
        <v>38233163</v>
      </c>
    </row>
    <row r="57" spans="1:9" ht="14.5" customHeight="1" x14ac:dyDescent="0.35">
      <c r="A57" s="11"/>
      <c r="B57" s="72" t="s">
        <v>56</v>
      </c>
      <c r="C57" s="72"/>
      <c r="D57" s="12"/>
      <c r="E57" s="86">
        <v>8919747</v>
      </c>
      <c r="F57" s="86">
        <v>8986981</v>
      </c>
      <c r="G57" s="86">
        <v>10517968</v>
      </c>
      <c r="H57" s="86">
        <v>12840931</v>
      </c>
      <c r="I57" s="86">
        <v>11941024</v>
      </c>
    </row>
    <row r="58" spans="1:9" ht="14.5" customHeight="1" x14ac:dyDescent="0.35">
      <c r="A58" s="11"/>
      <c r="B58" s="72" t="s">
        <v>57</v>
      </c>
      <c r="C58" s="72"/>
      <c r="D58" s="12"/>
      <c r="E58" s="86">
        <v>2487283</v>
      </c>
      <c r="F58" s="86">
        <v>2677398</v>
      </c>
      <c r="G58" s="86">
        <v>3173966</v>
      </c>
      <c r="H58" s="86">
        <v>3306534</v>
      </c>
      <c r="I58" s="86">
        <v>3445560</v>
      </c>
    </row>
    <row r="59" spans="1:9" ht="14.5" customHeight="1" x14ac:dyDescent="0.35">
      <c r="A59" s="11"/>
      <c r="B59" s="72" t="s">
        <v>58</v>
      </c>
      <c r="C59" s="72"/>
      <c r="D59" s="12"/>
      <c r="E59" s="86">
        <v>951685</v>
      </c>
      <c r="F59" s="86">
        <v>0</v>
      </c>
      <c r="G59" s="86">
        <v>0</v>
      </c>
      <c r="H59" s="86">
        <v>0</v>
      </c>
      <c r="I59" s="86">
        <v>0</v>
      </c>
    </row>
    <row r="60" spans="1:9" ht="14.5" customHeight="1" x14ac:dyDescent="0.35">
      <c r="A60" s="11"/>
      <c r="B60" s="72" t="s">
        <v>59</v>
      </c>
      <c r="C60" s="72"/>
      <c r="D60" s="12"/>
      <c r="E60" s="86">
        <v>0</v>
      </c>
      <c r="F60" s="86">
        <v>0</v>
      </c>
      <c r="G60" s="86">
        <v>0</v>
      </c>
      <c r="H60" s="86">
        <v>0</v>
      </c>
      <c r="I60" s="86">
        <v>0</v>
      </c>
    </row>
    <row r="61" spans="1:9" ht="14.5" customHeight="1" x14ac:dyDescent="0.35">
      <c r="A61" s="11"/>
      <c r="B61" s="72" t="s">
        <v>60</v>
      </c>
      <c r="C61" s="72"/>
      <c r="D61" s="12"/>
      <c r="E61" s="86">
        <v>5480779</v>
      </c>
      <c r="F61" s="86">
        <v>6309583</v>
      </c>
      <c r="G61" s="86">
        <v>7344002</v>
      </c>
      <c r="H61" s="86">
        <v>9534397</v>
      </c>
      <c r="I61" s="86">
        <v>8495464</v>
      </c>
    </row>
    <row r="62" spans="1:9" ht="14.5" customHeight="1" x14ac:dyDescent="0.35">
      <c r="A62" s="11"/>
      <c r="B62" s="72" t="s">
        <v>61</v>
      </c>
      <c r="C62" s="72"/>
      <c r="D62" s="12"/>
      <c r="E62" s="86">
        <v>0</v>
      </c>
      <c r="F62" s="86">
        <v>0</v>
      </c>
      <c r="G62" s="86">
        <v>0</v>
      </c>
      <c r="H62" s="86">
        <v>0</v>
      </c>
      <c r="I62" s="86">
        <v>0</v>
      </c>
    </row>
    <row r="63" spans="1:9" ht="14.5" customHeight="1" x14ac:dyDescent="0.35">
      <c r="A63" s="11"/>
      <c r="B63" s="72" t="s">
        <v>62</v>
      </c>
      <c r="C63" s="72"/>
      <c r="D63" s="12"/>
      <c r="E63" s="86">
        <v>0</v>
      </c>
      <c r="F63" s="86">
        <v>0</v>
      </c>
      <c r="G63" s="86">
        <v>0</v>
      </c>
      <c r="H63" s="86">
        <v>0</v>
      </c>
      <c r="I63" s="86">
        <v>0</v>
      </c>
    </row>
    <row r="64" spans="1:9" ht="14.5" customHeight="1" x14ac:dyDescent="0.35">
      <c r="A64" s="11"/>
      <c r="B64" s="13"/>
      <c r="C64" s="13"/>
      <c r="D64" s="13"/>
      <c r="E64" s="7"/>
      <c r="F64" s="7"/>
      <c r="G64" s="7"/>
      <c r="H64" s="7"/>
      <c r="I64" s="7"/>
    </row>
    <row r="65" spans="1:9" ht="14.5" customHeight="1" x14ac:dyDescent="0.35">
      <c r="A65" s="11"/>
      <c r="B65" s="72" t="s">
        <v>63</v>
      </c>
      <c r="C65" s="72"/>
      <c r="D65" s="12"/>
      <c r="E65" s="86">
        <v>14439435</v>
      </c>
      <c r="F65" s="86">
        <v>13193001</v>
      </c>
      <c r="G65" s="86">
        <v>14008579</v>
      </c>
      <c r="H65" s="86">
        <v>15031652</v>
      </c>
      <c r="I65" s="86">
        <v>17577717</v>
      </c>
    </row>
    <row r="66" spans="1:9" ht="14.5" customHeight="1" x14ac:dyDescent="0.35">
      <c r="A66" s="11"/>
      <c r="B66" s="73" t="s">
        <v>64</v>
      </c>
      <c r="C66" s="73"/>
      <c r="D66" s="14"/>
      <c r="E66" s="88">
        <v>11452989</v>
      </c>
      <c r="F66" s="88">
        <v>7920265</v>
      </c>
      <c r="G66" s="88">
        <v>7974302</v>
      </c>
      <c r="H66" s="88">
        <v>8359748</v>
      </c>
      <c r="I66" s="88">
        <v>9980219</v>
      </c>
    </row>
    <row r="67" spans="1:9" ht="14.5" customHeight="1" x14ac:dyDescent="0.35">
      <c r="A67" s="11"/>
      <c r="B67" s="73" t="s">
        <v>65</v>
      </c>
      <c r="C67" s="73"/>
      <c r="D67" s="14"/>
      <c r="E67" s="88">
        <v>0</v>
      </c>
      <c r="F67" s="88">
        <v>0</v>
      </c>
      <c r="G67" s="88">
        <v>0</v>
      </c>
      <c r="H67" s="88">
        <v>0</v>
      </c>
      <c r="I67" s="88">
        <v>0</v>
      </c>
    </row>
    <row r="68" spans="1:9" ht="14.5" customHeight="1" x14ac:dyDescent="0.35">
      <c r="A68" s="11"/>
      <c r="B68" s="73" t="s">
        <v>66</v>
      </c>
      <c r="C68" s="73"/>
      <c r="D68" s="14"/>
      <c r="E68" s="88">
        <v>0</v>
      </c>
      <c r="F68" s="88">
        <v>0</v>
      </c>
      <c r="G68" s="88">
        <v>0</v>
      </c>
      <c r="H68" s="88">
        <v>0</v>
      </c>
      <c r="I68" s="88">
        <v>0</v>
      </c>
    </row>
    <row r="69" spans="1:9" ht="14.5" customHeight="1" x14ac:dyDescent="0.35">
      <c r="A69" s="11"/>
      <c r="B69" s="73" t="s">
        <v>67</v>
      </c>
      <c r="C69" s="73"/>
      <c r="D69" s="14"/>
      <c r="E69" s="88">
        <v>0</v>
      </c>
      <c r="F69" s="88">
        <v>0</v>
      </c>
      <c r="G69" s="88">
        <v>0</v>
      </c>
      <c r="H69" s="88">
        <v>0</v>
      </c>
      <c r="I69" s="88">
        <v>0</v>
      </c>
    </row>
    <row r="70" spans="1:9" ht="14.5" customHeight="1" x14ac:dyDescent="0.35">
      <c r="A70" s="11"/>
      <c r="B70" s="73" t="s">
        <v>68</v>
      </c>
      <c r="C70" s="73"/>
      <c r="D70" s="14"/>
      <c r="E70" s="88">
        <v>0</v>
      </c>
      <c r="F70" s="88">
        <v>0</v>
      </c>
      <c r="G70" s="88">
        <v>0</v>
      </c>
      <c r="H70" s="88">
        <v>0</v>
      </c>
      <c r="I70" s="88">
        <v>0</v>
      </c>
    </row>
    <row r="71" spans="1:9" ht="14.5" customHeight="1" x14ac:dyDescent="0.35">
      <c r="A71" s="11"/>
      <c r="B71" s="73" t="s">
        <v>69</v>
      </c>
      <c r="C71" s="73"/>
      <c r="D71" s="14"/>
      <c r="E71" s="88">
        <v>0</v>
      </c>
      <c r="F71" s="88">
        <v>0</v>
      </c>
      <c r="G71" s="88">
        <v>0</v>
      </c>
      <c r="H71" s="88">
        <v>0</v>
      </c>
      <c r="I71" s="88">
        <v>0</v>
      </c>
    </row>
    <row r="72" spans="1:9" ht="14.5" customHeight="1" x14ac:dyDescent="0.35">
      <c r="A72" s="11"/>
      <c r="B72" s="73" t="s">
        <v>70</v>
      </c>
      <c r="C72" s="73"/>
      <c r="D72" s="14"/>
      <c r="E72" s="88">
        <v>0</v>
      </c>
      <c r="F72" s="88">
        <v>0</v>
      </c>
      <c r="G72" s="88">
        <v>0</v>
      </c>
      <c r="H72" s="88">
        <v>0</v>
      </c>
      <c r="I72" s="88">
        <v>0</v>
      </c>
    </row>
    <row r="73" spans="1:9" ht="14.5" customHeight="1" x14ac:dyDescent="0.35">
      <c r="A73" s="11"/>
      <c r="B73" s="73" t="s">
        <v>71</v>
      </c>
      <c r="C73" s="73"/>
      <c r="D73" s="14"/>
      <c r="E73" s="88">
        <v>0</v>
      </c>
      <c r="F73" s="88">
        <v>0</v>
      </c>
      <c r="G73" s="88">
        <v>0</v>
      </c>
      <c r="H73" s="88">
        <v>0</v>
      </c>
      <c r="I73" s="88">
        <v>0</v>
      </c>
    </row>
    <row r="74" spans="1:9" ht="14.5" customHeight="1" x14ac:dyDescent="0.35">
      <c r="A74" s="11"/>
      <c r="B74" s="73" t="s">
        <v>72</v>
      </c>
      <c r="C74" s="73"/>
      <c r="D74" s="14"/>
      <c r="E74" s="88">
        <v>0</v>
      </c>
      <c r="F74" s="88">
        <v>0</v>
      </c>
      <c r="G74" s="88">
        <v>0</v>
      </c>
      <c r="H74" s="88">
        <v>0</v>
      </c>
      <c r="I74" s="88">
        <v>0</v>
      </c>
    </row>
    <row r="75" spans="1:9" ht="14.5" customHeight="1" x14ac:dyDescent="0.35">
      <c r="A75" s="11"/>
      <c r="B75" s="73" t="s">
        <v>73</v>
      </c>
      <c r="C75" s="73"/>
      <c r="D75" s="14"/>
      <c r="E75" s="88">
        <v>0</v>
      </c>
      <c r="F75" s="88">
        <v>0</v>
      </c>
      <c r="G75" s="88">
        <v>0</v>
      </c>
      <c r="H75" s="88">
        <v>0</v>
      </c>
      <c r="I75" s="88">
        <v>0</v>
      </c>
    </row>
    <row r="76" spans="1:9" ht="14.5" customHeight="1" x14ac:dyDescent="0.35">
      <c r="A76" s="11"/>
      <c r="B76" s="73" t="s">
        <v>74</v>
      </c>
      <c r="C76" s="73"/>
      <c r="D76" s="14"/>
      <c r="E76" s="88">
        <v>113876</v>
      </c>
      <c r="F76" s="88">
        <v>1639368</v>
      </c>
      <c r="G76" s="88">
        <v>1225311</v>
      </c>
      <c r="H76" s="88">
        <v>946574</v>
      </c>
      <c r="I76" s="88">
        <v>1160993</v>
      </c>
    </row>
    <row r="77" spans="1:9" ht="14.5" customHeight="1" x14ac:dyDescent="0.35">
      <c r="A77" s="11"/>
      <c r="B77" s="73" t="s">
        <v>75</v>
      </c>
      <c r="C77" s="73"/>
      <c r="D77" s="14"/>
      <c r="E77" s="88">
        <v>0</v>
      </c>
      <c r="F77" s="88">
        <v>0</v>
      </c>
      <c r="G77" s="88">
        <v>212763</v>
      </c>
      <c r="H77" s="88">
        <v>219807</v>
      </c>
      <c r="I77" s="88">
        <v>231794</v>
      </c>
    </row>
    <row r="78" spans="1:9" ht="14.5" customHeight="1" x14ac:dyDescent="0.35">
      <c r="A78" s="11"/>
      <c r="B78" s="73" t="s">
        <v>76</v>
      </c>
      <c r="C78" s="73"/>
      <c r="D78" s="14"/>
      <c r="E78" s="88">
        <v>697625</v>
      </c>
      <c r="F78" s="88">
        <v>2005097</v>
      </c>
      <c r="G78" s="88">
        <v>4271604</v>
      </c>
      <c r="H78" s="88">
        <v>4225182</v>
      </c>
      <c r="I78" s="99">
        <v>4209649</v>
      </c>
    </row>
    <row r="79" spans="1:9" ht="14.5" customHeight="1" x14ac:dyDescent="0.35">
      <c r="A79" s="11"/>
      <c r="B79" s="73" t="s">
        <v>77</v>
      </c>
      <c r="C79" s="73"/>
      <c r="D79" s="14"/>
      <c r="E79" s="88">
        <v>0</v>
      </c>
      <c r="F79" s="88">
        <v>0</v>
      </c>
      <c r="G79" s="88">
        <v>0</v>
      </c>
      <c r="H79" s="88">
        <v>0</v>
      </c>
      <c r="I79" s="88">
        <v>0</v>
      </c>
    </row>
    <row r="80" spans="1:9" ht="14.5" customHeight="1" x14ac:dyDescent="0.35">
      <c r="A80" s="11"/>
      <c r="B80" s="73" t="s">
        <v>78</v>
      </c>
      <c r="C80" s="73"/>
      <c r="D80" s="14"/>
      <c r="E80" s="88">
        <v>1700194</v>
      </c>
      <c r="F80" s="88">
        <v>1608167</v>
      </c>
      <c r="G80" s="88">
        <v>255056</v>
      </c>
      <c r="H80" s="88">
        <v>1251585</v>
      </c>
      <c r="I80" s="88">
        <v>1995062</v>
      </c>
    </row>
    <row r="81" spans="1:9" ht="14.5" customHeight="1" x14ac:dyDescent="0.35">
      <c r="A81" s="11"/>
      <c r="B81" s="73" t="s">
        <v>79</v>
      </c>
      <c r="C81" s="73"/>
      <c r="D81" s="14"/>
      <c r="E81" s="88">
        <v>474751</v>
      </c>
      <c r="F81" s="88">
        <v>20104</v>
      </c>
      <c r="G81" s="88">
        <v>69543</v>
      </c>
      <c r="H81" s="88">
        <v>28756</v>
      </c>
      <c r="I81" s="88">
        <v>0</v>
      </c>
    </row>
    <row r="82" spans="1:9" ht="14.5" customHeight="1" x14ac:dyDescent="0.35">
      <c r="A82" s="11"/>
      <c r="B82" s="73" t="s">
        <v>80</v>
      </c>
      <c r="C82" s="73"/>
      <c r="D82" s="14"/>
      <c r="E82" s="88">
        <v>13964684</v>
      </c>
      <c r="F82" s="88">
        <v>13172897</v>
      </c>
      <c r="G82" s="88">
        <v>13726273</v>
      </c>
      <c r="H82" s="88">
        <v>14783089</v>
      </c>
      <c r="I82" s="88">
        <v>17345923</v>
      </c>
    </row>
    <row r="83" spans="1:9" ht="14.5" customHeight="1" x14ac:dyDescent="0.35">
      <c r="A83" s="11"/>
      <c r="B83" s="73" t="s">
        <v>81</v>
      </c>
      <c r="C83" s="73"/>
      <c r="D83" s="14"/>
      <c r="E83" s="89"/>
      <c r="F83" s="89"/>
      <c r="G83" s="89"/>
      <c r="H83" s="89"/>
      <c r="I83" s="89"/>
    </row>
    <row r="84" spans="1:9" ht="14.5" customHeight="1" x14ac:dyDescent="0.35">
      <c r="A84" s="11"/>
      <c r="B84" s="73" t="s">
        <v>82</v>
      </c>
      <c r="C84" s="73"/>
      <c r="D84" s="14"/>
      <c r="E84" s="88">
        <v>474751</v>
      </c>
      <c r="F84" s="88">
        <v>20104</v>
      </c>
      <c r="G84" s="88">
        <v>282306</v>
      </c>
      <c r="H84" s="88">
        <v>248563</v>
      </c>
      <c r="I84" s="88">
        <v>231794</v>
      </c>
    </row>
    <row r="85" spans="1:9" ht="14.5" customHeight="1" x14ac:dyDescent="0.35">
      <c r="A85" s="11"/>
      <c r="B85" s="13"/>
      <c r="C85" s="13"/>
      <c r="D85" s="13"/>
      <c r="E85" s="7"/>
      <c r="F85" s="7"/>
      <c r="G85" s="7"/>
      <c r="H85" s="7"/>
      <c r="I85" s="7"/>
    </row>
    <row r="86" spans="1:9" s="23" customFormat="1" ht="14.5" customHeight="1" x14ac:dyDescent="0.35">
      <c r="A86" s="21"/>
      <c r="B86" s="74" t="s">
        <v>83</v>
      </c>
      <c r="C86" s="74"/>
      <c r="D86" s="22"/>
      <c r="E86" s="86">
        <v>0</v>
      </c>
      <c r="F86" s="86">
        <v>1183</v>
      </c>
      <c r="G86" s="86">
        <v>0</v>
      </c>
      <c r="H86" s="86">
        <v>7545</v>
      </c>
      <c r="I86" s="86">
        <v>884428</v>
      </c>
    </row>
    <row r="87" spans="1:9" ht="14.5" customHeight="1" x14ac:dyDescent="0.35">
      <c r="A87" s="11"/>
      <c r="B87" s="72" t="s">
        <v>84</v>
      </c>
      <c r="C87" s="72"/>
      <c r="D87" s="12"/>
      <c r="E87" s="86">
        <v>0</v>
      </c>
      <c r="F87" s="86">
        <v>0</v>
      </c>
      <c r="G87" s="86">
        <v>0</v>
      </c>
      <c r="H87" s="86">
        <v>0</v>
      </c>
      <c r="I87" s="86">
        <v>0</v>
      </c>
    </row>
    <row r="88" spans="1:9" ht="14.5" customHeight="1" x14ac:dyDescent="0.35">
      <c r="A88" s="11"/>
      <c r="B88" s="72" t="s">
        <v>85</v>
      </c>
      <c r="C88" s="72"/>
      <c r="D88" s="12"/>
      <c r="E88" s="86">
        <v>0</v>
      </c>
      <c r="F88" s="86">
        <v>0</v>
      </c>
      <c r="G88" s="86">
        <v>0</v>
      </c>
      <c r="H88" s="86">
        <v>0</v>
      </c>
      <c r="I88" s="86">
        <v>0</v>
      </c>
    </row>
    <row r="89" spans="1:9" ht="14.5" customHeight="1" x14ac:dyDescent="0.35">
      <c r="A89" s="11"/>
      <c r="B89" s="72" t="s">
        <v>86</v>
      </c>
      <c r="C89" s="72"/>
      <c r="D89" s="12"/>
      <c r="E89" s="86">
        <v>0</v>
      </c>
      <c r="F89" s="86">
        <v>0</v>
      </c>
      <c r="G89" s="86">
        <v>0</v>
      </c>
      <c r="H89" s="86">
        <v>0</v>
      </c>
      <c r="I89" s="86">
        <v>0</v>
      </c>
    </row>
    <row r="90" spans="1:9" ht="14.5" customHeight="1" x14ac:dyDescent="0.35">
      <c r="A90" s="11"/>
      <c r="B90" s="72" t="s">
        <v>87</v>
      </c>
      <c r="C90" s="72"/>
      <c r="D90" s="12"/>
      <c r="E90" s="86">
        <v>0</v>
      </c>
      <c r="F90" s="86">
        <v>0</v>
      </c>
      <c r="G90" s="86">
        <v>0</v>
      </c>
      <c r="H90" s="86">
        <v>0</v>
      </c>
      <c r="I90" s="86">
        <v>0</v>
      </c>
    </row>
    <row r="91" spans="1:9" ht="14.5" customHeight="1" x14ac:dyDescent="0.35">
      <c r="A91" s="11"/>
      <c r="B91" s="72" t="s">
        <v>88</v>
      </c>
      <c r="C91" s="72"/>
      <c r="D91" s="12"/>
      <c r="E91" s="86">
        <v>0</v>
      </c>
      <c r="F91" s="86">
        <v>0</v>
      </c>
      <c r="G91" s="86">
        <v>0</v>
      </c>
      <c r="H91" s="86">
        <v>0</v>
      </c>
      <c r="I91" s="86">
        <v>0</v>
      </c>
    </row>
    <row r="92" spans="1:9" ht="14.5" customHeight="1" x14ac:dyDescent="0.35">
      <c r="A92" s="11"/>
      <c r="B92" s="72" t="s">
        <v>89</v>
      </c>
      <c r="C92" s="72"/>
      <c r="D92" s="12"/>
      <c r="E92" s="86">
        <v>0</v>
      </c>
      <c r="F92" s="86">
        <v>0</v>
      </c>
      <c r="G92" s="86">
        <v>0</v>
      </c>
      <c r="H92" s="86">
        <v>0</v>
      </c>
      <c r="I92" s="86">
        <v>0</v>
      </c>
    </row>
    <row r="93" spans="1:9" ht="14.5" customHeight="1" x14ac:dyDescent="0.35">
      <c r="A93" s="11"/>
      <c r="B93" s="72" t="s">
        <v>54</v>
      </c>
      <c r="C93" s="72"/>
      <c r="D93" s="12"/>
      <c r="E93" s="86">
        <v>0</v>
      </c>
      <c r="F93" s="86">
        <v>0</v>
      </c>
      <c r="G93" s="86">
        <v>0</v>
      </c>
      <c r="H93" s="86">
        <v>0</v>
      </c>
      <c r="I93" s="86">
        <v>0</v>
      </c>
    </row>
    <row r="94" spans="1:9" ht="14.5" customHeight="1" x14ac:dyDescent="0.35">
      <c r="A94" s="11"/>
      <c r="B94" s="72" t="s">
        <v>90</v>
      </c>
      <c r="C94" s="72"/>
      <c r="D94" s="12"/>
      <c r="E94" s="86">
        <v>0</v>
      </c>
      <c r="F94" s="86">
        <v>1183</v>
      </c>
      <c r="G94" s="86">
        <v>0</v>
      </c>
      <c r="H94" s="86">
        <v>7545</v>
      </c>
      <c r="I94" s="97">
        <v>884428</v>
      </c>
    </row>
    <row r="95" spans="1:9" s="23" customFormat="1" ht="14.5" customHeight="1" x14ac:dyDescent="0.35">
      <c r="A95" s="21"/>
      <c r="B95" s="74" t="s">
        <v>91</v>
      </c>
      <c r="C95" s="74"/>
      <c r="D95" s="22"/>
      <c r="E95" s="86">
        <v>0</v>
      </c>
      <c r="F95" s="86">
        <v>0</v>
      </c>
      <c r="G95" s="86">
        <v>0</v>
      </c>
      <c r="H95" s="86">
        <v>0</v>
      </c>
      <c r="I95" s="86">
        <v>0</v>
      </c>
    </row>
    <row r="96" spans="1:9" ht="14.5" customHeight="1" x14ac:dyDescent="0.35">
      <c r="A96" s="11"/>
      <c r="B96" s="72" t="s">
        <v>92</v>
      </c>
      <c r="C96" s="72"/>
      <c r="D96" s="12"/>
      <c r="E96" s="86">
        <v>0</v>
      </c>
      <c r="F96" s="86">
        <v>0</v>
      </c>
      <c r="G96" s="86">
        <v>0</v>
      </c>
      <c r="H96" s="86">
        <v>0</v>
      </c>
      <c r="I96" s="86">
        <v>0</v>
      </c>
    </row>
    <row r="97" spans="1:9" ht="14.5" customHeight="1" x14ac:dyDescent="0.35">
      <c r="A97" s="11"/>
      <c r="B97" s="13"/>
      <c r="C97" s="13"/>
      <c r="D97" s="13"/>
      <c r="E97" s="7"/>
      <c r="F97" s="7"/>
      <c r="G97" s="7"/>
      <c r="H97" s="7"/>
      <c r="I97" s="7"/>
    </row>
    <row r="98" spans="1:9" ht="14.5" customHeight="1" x14ac:dyDescent="0.35">
      <c r="A98" s="11"/>
      <c r="B98" s="72" t="s">
        <v>93</v>
      </c>
      <c r="C98" s="72"/>
      <c r="D98" s="12"/>
      <c r="E98" s="86">
        <v>1547345</v>
      </c>
      <c r="F98" s="86">
        <v>5374403</v>
      </c>
      <c r="G98" s="86">
        <v>7169931</v>
      </c>
      <c r="H98" s="86">
        <v>3137268</v>
      </c>
      <c r="I98" s="86">
        <v>7829994</v>
      </c>
    </row>
    <row r="99" spans="1:9" ht="14.5" customHeight="1" x14ac:dyDescent="0.35">
      <c r="A99" s="11"/>
      <c r="B99" s="72" t="s">
        <v>94</v>
      </c>
      <c r="C99" s="72"/>
      <c r="D99" s="12"/>
      <c r="E99" s="86">
        <v>1542547</v>
      </c>
      <c r="F99" s="86">
        <v>5370287</v>
      </c>
      <c r="G99" s="86">
        <v>7166050</v>
      </c>
      <c r="H99" s="86">
        <v>3132479</v>
      </c>
      <c r="I99" s="86">
        <v>7825241</v>
      </c>
    </row>
    <row r="100" spans="1:9" ht="14.5" customHeight="1" x14ac:dyDescent="0.35">
      <c r="A100" s="11"/>
      <c r="B100" s="72" t="s">
        <v>95</v>
      </c>
      <c r="C100" s="72"/>
      <c r="D100" s="12"/>
      <c r="E100" s="86">
        <v>0</v>
      </c>
      <c r="F100" s="86">
        <v>0</v>
      </c>
      <c r="G100" s="86">
        <v>0</v>
      </c>
      <c r="H100" s="86">
        <v>0</v>
      </c>
      <c r="I100" s="86">
        <v>0</v>
      </c>
    </row>
    <row r="101" spans="1:9" ht="14.5" customHeight="1" x14ac:dyDescent="0.35">
      <c r="A101" s="11"/>
      <c r="B101" s="72" t="s">
        <v>96</v>
      </c>
      <c r="C101" s="72"/>
      <c r="D101" s="12"/>
      <c r="E101" s="86">
        <v>4798</v>
      </c>
      <c r="F101" s="86">
        <v>4116</v>
      </c>
      <c r="G101" s="86">
        <v>3881</v>
      </c>
      <c r="H101" s="86">
        <v>4789</v>
      </c>
      <c r="I101" s="86">
        <v>4753</v>
      </c>
    </row>
    <row r="102" spans="1:9" ht="14.5" customHeight="1" x14ac:dyDescent="0.35">
      <c r="A102" s="11"/>
      <c r="B102" s="13"/>
      <c r="C102" s="13"/>
      <c r="D102" s="13"/>
      <c r="E102" s="7"/>
      <c r="F102" s="7"/>
      <c r="G102" s="7"/>
      <c r="H102" s="7"/>
      <c r="I102" s="7"/>
    </row>
    <row r="103" spans="1:9" ht="14.5" customHeight="1" x14ac:dyDescent="0.35">
      <c r="A103" s="11"/>
      <c r="B103" s="72" t="s">
        <v>97</v>
      </c>
      <c r="C103" s="72"/>
      <c r="D103" s="12"/>
      <c r="E103" s="86">
        <v>37118</v>
      </c>
      <c r="F103" s="86">
        <v>949275</v>
      </c>
      <c r="G103" s="86">
        <v>892897</v>
      </c>
      <c r="H103" s="86">
        <v>809278</v>
      </c>
      <c r="I103" s="86">
        <v>786734</v>
      </c>
    </row>
    <row r="104" spans="1:9" ht="14.5" customHeight="1" x14ac:dyDescent="0.35">
      <c r="A104" s="11"/>
      <c r="B104" s="72" t="s">
        <v>98</v>
      </c>
      <c r="C104" s="72"/>
      <c r="D104" s="12"/>
      <c r="E104" s="87"/>
      <c r="F104" s="87"/>
      <c r="G104" s="87"/>
      <c r="H104" s="87"/>
      <c r="I104" s="87"/>
    </row>
    <row r="105" spans="1:9" ht="14.5" customHeight="1" x14ac:dyDescent="0.35">
      <c r="A105" s="11"/>
      <c r="B105" s="13"/>
      <c r="C105" s="13"/>
      <c r="D105" s="13"/>
      <c r="E105" s="7"/>
      <c r="F105" s="7"/>
      <c r="G105" s="7"/>
      <c r="H105" s="7"/>
      <c r="I105" s="7"/>
    </row>
    <row r="106" spans="1:9" ht="14.5" customHeight="1" x14ac:dyDescent="0.35">
      <c r="A106" s="11"/>
      <c r="B106" s="72" t="s">
        <v>99</v>
      </c>
      <c r="C106" s="72"/>
      <c r="D106" s="12"/>
      <c r="E106" s="86">
        <v>149261914</v>
      </c>
      <c r="F106" s="86">
        <v>139609294</v>
      </c>
      <c r="G106" s="86">
        <v>138200324</v>
      </c>
      <c r="H106" s="86">
        <v>120283075</v>
      </c>
      <c r="I106" s="86">
        <v>115504851</v>
      </c>
    </row>
    <row r="107" spans="1:9" ht="14.5" customHeight="1" x14ac:dyDescent="0.35">
      <c r="A107" s="11"/>
      <c r="B107" s="13"/>
      <c r="C107" s="13"/>
      <c r="D107" s="13"/>
      <c r="E107" s="7"/>
      <c r="F107" s="7"/>
      <c r="G107" s="7"/>
      <c r="H107" s="7"/>
      <c r="I107" s="7"/>
    </row>
    <row r="108" spans="1:9" ht="14.5" customHeight="1" x14ac:dyDescent="0.35">
      <c r="A108" s="8"/>
      <c r="B108" s="70" t="s">
        <v>100</v>
      </c>
      <c r="C108" s="70"/>
      <c r="D108" s="9"/>
      <c r="E108" s="10"/>
      <c r="F108" s="10"/>
      <c r="G108" s="10"/>
      <c r="H108" s="10"/>
      <c r="I108" s="10"/>
    </row>
    <row r="109" spans="1:9" ht="14.5" customHeight="1" x14ac:dyDescent="0.35">
      <c r="A109" s="11"/>
      <c r="B109" s="13"/>
      <c r="C109" s="13"/>
      <c r="D109" s="13"/>
      <c r="E109" s="7"/>
      <c r="F109" s="7"/>
      <c r="G109" s="7"/>
      <c r="H109" s="7"/>
      <c r="I109" s="7"/>
    </row>
    <row r="110" spans="1:9" ht="14.5" customHeight="1" x14ac:dyDescent="0.35">
      <c r="A110" s="15"/>
      <c r="B110" s="75" t="s">
        <v>101</v>
      </c>
      <c r="C110" s="75"/>
      <c r="D110" s="16"/>
      <c r="E110" s="17"/>
      <c r="F110" s="17"/>
      <c r="G110" s="17"/>
      <c r="H110" s="17"/>
      <c r="I110" s="17"/>
    </row>
    <row r="111" spans="1:9" ht="14.5" customHeight="1" x14ac:dyDescent="0.35">
      <c r="A111" s="11"/>
      <c r="B111" s="13"/>
      <c r="C111" s="13"/>
      <c r="D111" s="13"/>
      <c r="E111" s="7"/>
      <c r="F111" s="7"/>
      <c r="G111" s="7"/>
      <c r="H111" s="7"/>
      <c r="I111" s="7"/>
    </row>
    <row r="112" spans="1:9" ht="14.5" customHeight="1" x14ac:dyDescent="0.35">
      <c r="A112" s="11"/>
      <c r="B112" s="72" t="s">
        <v>102</v>
      </c>
      <c r="C112" s="72"/>
      <c r="D112" s="12"/>
      <c r="E112" s="86">
        <v>108790663</v>
      </c>
      <c r="F112" s="86">
        <v>77520395</v>
      </c>
      <c r="G112" s="86">
        <v>69401771</v>
      </c>
      <c r="H112" s="86">
        <v>47695764</v>
      </c>
      <c r="I112" s="86">
        <v>39546222</v>
      </c>
    </row>
    <row r="113" spans="1:9" ht="14.5" customHeight="1" x14ac:dyDescent="0.35">
      <c r="A113" s="11"/>
      <c r="B113" s="72" t="s">
        <v>103</v>
      </c>
      <c r="C113" s="72"/>
      <c r="D113" s="12"/>
      <c r="E113" s="86">
        <v>5000000</v>
      </c>
      <c r="F113" s="86">
        <v>5000000</v>
      </c>
      <c r="G113" s="86">
        <v>5000000</v>
      </c>
      <c r="H113" s="86">
        <v>5000000</v>
      </c>
      <c r="I113" s="86">
        <v>5000000</v>
      </c>
    </row>
    <row r="114" spans="1:9" ht="14.5" customHeight="1" x14ac:dyDescent="0.35">
      <c r="A114" s="11"/>
      <c r="B114" s="72" t="s">
        <v>104</v>
      </c>
      <c r="C114" s="72"/>
      <c r="D114" s="12"/>
      <c r="E114" s="86">
        <v>0</v>
      </c>
      <c r="F114" s="86">
        <v>0</v>
      </c>
      <c r="G114" s="86">
        <v>0</v>
      </c>
      <c r="H114" s="86">
        <v>0</v>
      </c>
      <c r="I114" s="86">
        <v>8500000</v>
      </c>
    </row>
    <row r="115" spans="1:9" ht="14.5" customHeight="1" x14ac:dyDescent="0.35">
      <c r="A115" s="11"/>
      <c r="B115" s="72" t="s">
        <v>105</v>
      </c>
      <c r="C115" s="72"/>
      <c r="D115" s="12"/>
      <c r="E115" s="86">
        <v>0</v>
      </c>
      <c r="F115" s="86">
        <v>0</v>
      </c>
      <c r="G115" s="86">
        <v>0</v>
      </c>
      <c r="H115" s="86">
        <v>0</v>
      </c>
      <c r="I115" s="86">
        <v>0</v>
      </c>
    </row>
    <row r="116" spans="1:9" ht="14.5" customHeight="1" x14ac:dyDescent="0.35">
      <c r="A116" s="11"/>
      <c r="B116" s="72" t="s">
        <v>106</v>
      </c>
      <c r="C116" s="72"/>
      <c r="D116" s="12"/>
      <c r="E116" s="86">
        <v>0</v>
      </c>
      <c r="F116" s="86">
        <v>0</v>
      </c>
      <c r="G116" s="86">
        <v>0</v>
      </c>
      <c r="H116" s="86">
        <v>0</v>
      </c>
      <c r="I116" s="86">
        <v>0</v>
      </c>
    </row>
    <row r="117" spans="1:9" ht="14.5" customHeight="1" x14ac:dyDescent="0.35">
      <c r="A117" s="11"/>
      <c r="B117" s="72" t="s">
        <v>107</v>
      </c>
      <c r="C117" s="72"/>
      <c r="D117" s="12"/>
      <c r="E117" s="86">
        <v>0</v>
      </c>
      <c r="F117" s="86">
        <v>0</v>
      </c>
      <c r="G117" s="86">
        <v>0</v>
      </c>
      <c r="H117" s="86">
        <v>0</v>
      </c>
      <c r="I117" s="86">
        <v>0</v>
      </c>
    </row>
    <row r="118" spans="1:9" ht="14.5" customHeight="1" x14ac:dyDescent="0.35">
      <c r="A118" s="11"/>
      <c r="B118" s="72" t="s">
        <v>108</v>
      </c>
      <c r="C118" s="72"/>
      <c r="D118" s="12"/>
      <c r="E118" s="86">
        <v>106378000</v>
      </c>
      <c r="F118" s="86">
        <v>83495500</v>
      </c>
      <c r="G118" s="86">
        <v>83495500</v>
      </c>
      <c r="H118" s="86">
        <v>64401771</v>
      </c>
      <c r="I118" s="86">
        <v>64401772</v>
      </c>
    </row>
    <row r="119" spans="1:9" ht="14.5" customHeight="1" x14ac:dyDescent="0.35">
      <c r="A119" s="11"/>
      <c r="B119" s="72" t="s">
        <v>109</v>
      </c>
      <c r="C119" s="72"/>
      <c r="D119" s="12"/>
      <c r="E119" s="86">
        <v>0</v>
      </c>
      <c r="F119" s="86">
        <v>0</v>
      </c>
      <c r="G119" s="97">
        <v>5537857</v>
      </c>
      <c r="H119" s="86">
        <v>0</v>
      </c>
      <c r="I119" s="86">
        <v>0</v>
      </c>
    </row>
    <row r="120" spans="1:9" ht="14.5" customHeight="1" x14ac:dyDescent="0.35">
      <c r="A120" s="11"/>
      <c r="B120" s="72" t="s">
        <v>110</v>
      </c>
      <c r="C120" s="72"/>
      <c r="D120" s="12"/>
      <c r="E120" s="86">
        <v>0</v>
      </c>
      <c r="F120" s="86">
        <v>0</v>
      </c>
      <c r="G120" s="86">
        <v>0</v>
      </c>
      <c r="H120" s="86">
        <v>0</v>
      </c>
      <c r="I120" s="86">
        <v>0</v>
      </c>
    </row>
    <row r="121" spans="1:9" ht="14.5" customHeight="1" x14ac:dyDescent="0.35">
      <c r="A121" s="11"/>
      <c r="B121" s="72" t="s">
        <v>111</v>
      </c>
      <c r="C121" s="72"/>
      <c r="D121" s="12"/>
      <c r="E121" s="86">
        <v>0</v>
      </c>
      <c r="F121" s="86">
        <v>0</v>
      </c>
      <c r="G121" s="86">
        <v>0</v>
      </c>
      <c r="H121" s="86">
        <v>0</v>
      </c>
      <c r="I121" s="86">
        <v>0</v>
      </c>
    </row>
    <row r="122" spans="1:9" ht="14.5" customHeight="1" x14ac:dyDescent="0.35">
      <c r="A122" s="11"/>
      <c r="B122" s="72" t="s">
        <v>112</v>
      </c>
      <c r="C122" s="72"/>
      <c r="D122" s="12"/>
      <c r="E122" s="86">
        <v>0</v>
      </c>
      <c r="F122" s="86">
        <v>0</v>
      </c>
      <c r="G122" s="86">
        <v>0</v>
      </c>
      <c r="H122" s="86">
        <v>0</v>
      </c>
      <c r="I122" s="86">
        <v>0</v>
      </c>
    </row>
    <row r="123" spans="1:9" ht="14.5" customHeight="1" x14ac:dyDescent="0.35">
      <c r="A123" s="11"/>
      <c r="B123" s="72" t="s">
        <v>113</v>
      </c>
      <c r="C123" s="72"/>
      <c r="D123" s="12"/>
      <c r="E123" s="86">
        <v>-1</v>
      </c>
      <c r="F123" s="86">
        <v>2</v>
      </c>
      <c r="G123" s="86">
        <v>0</v>
      </c>
      <c r="H123" s="86">
        <v>-2</v>
      </c>
      <c r="I123" s="97">
        <v>8499997</v>
      </c>
    </row>
    <row r="124" spans="1:9" ht="14.5" customHeight="1" x14ac:dyDescent="0.35">
      <c r="A124" s="11"/>
      <c r="B124" s="72" t="s">
        <v>114</v>
      </c>
      <c r="C124" s="72"/>
      <c r="D124" s="12"/>
      <c r="E124" s="87"/>
      <c r="F124" s="87"/>
      <c r="G124" s="87"/>
      <c r="H124" s="87"/>
      <c r="I124" s="87"/>
    </row>
    <row r="125" spans="1:9" ht="14.5" customHeight="1" x14ac:dyDescent="0.35">
      <c r="A125" s="11"/>
      <c r="B125" s="72" t="s">
        <v>115</v>
      </c>
      <c r="C125" s="72"/>
      <c r="D125" s="12"/>
      <c r="E125" s="86">
        <v>0</v>
      </c>
      <c r="F125" s="86">
        <v>0</v>
      </c>
      <c r="G125" s="86">
        <v>0</v>
      </c>
      <c r="H125" s="86">
        <v>0</v>
      </c>
      <c r="I125" s="86">
        <v>0</v>
      </c>
    </row>
    <row r="126" spans="1:9" ht="14.5" customHeight="1" x14ac:dyDescent="0.35">
      <c r="A126" s="11"/>
      <c r="B126" s="72" t="s">
        <v>116</v>
      </c>
      <c r="C126" s="72"/>
      <c r="D126" s="12"/>
      <c r="E126" s="86">
        <v>0</v>
      </c>
      <c r="F126" s="86">
        <v>-441806</v>
      </c>
      <c r="G126" s="86">
        <v>-10975107</v>
      </c>
      <c r="H126" s="86">
        <v>0</v>
      </c>
      <c r="I126" s="86">
        <v>-21706005</v>
      </c>
    </row>
    <row r="127" spans="1:9" ht="14.5" customHeight="1" x14ac:dyDescent="0.35">
      <c r="A127" s="11"/>
      <c r="B127" s="72" t="s">
        <v>117</v>
      </c>
      <c r="C127" s="72"/>
      <c r="D127" s="12"/>
      <c r="E127" s="86">
        <v>-2587336</v>
      </c>
      <c r="F127" s="86">
        <v>-10533301</v>
      </c>
      <c r="G127" s="86">
        <v>-13656479</v>
      </c>
      <c r="H127" s="86">
        <v>-21706005</v>
      </c>
      <c r="I127" s="86">
        <v>-16649542</v>
      </c>
    </row>
    <row r="128" spans="1:9" ht="14.5" customHeight="1" x14ac:dyDescent="0.35">
      <c r="A128" s="11"/>
      <c r="B128" s="72" t="s">
        <v>118</v>
      </c>
      <c r="C128" s="72"/>
      <c r="D128" s="12"/>
      <c r="E128" s="86">
        <v>0</v>
      </c>
      <c r="F128" s="86">
        <v>0</v>
      </c>
      <c r="G128" s="86">
        <v>0</v>
      </c>
      <c r="H128" s="86">
        <v>0</v>
      </c>
      <c r="I128" s="86">
        <v>0</v>
      </c>
    </row>
    <row r="129" spans="1:9" ht="14.5" customHeight="1" x14ac:dyDescent="0.35">
      <c r="A129" s="11"/>
      <c r="B129" s="72" t="s">
        <v>119</v>
      </c>
      <c r="C129" s="72"/>
      <c r="D129" s="12"/>
      <c r="E129" s="86">
        <v>0</v>
      </c>
      <c r="F129" s="86">
        <v>0</v>
      </c>
      <c r="G129" s="86">
        <v>0</v>
      </c>
      <c r="H129" s="86">
        <v>0</v>
      </c>
      <c r="I129" s="86">
        <v>0</v>
      </c>
    </row>
    <row r="130" spans="1:9" ht="14.5" customHeight="1" x14ac:dyDescent="0.35">
      <c r="A130" s="11"/>
      <c r="B130" s="72" t="s">
        <v>120</v>
      </c>
      <c r="C130" s="72"/>
      <c r="D130" s="12"/>
      <c r="E130" s="86">
        <v>0</v>
      </c>
      <c r="F130" s="86">
        <v>0</v>
      </c>
      <c r="G130" s="86">
        <v>0</v>
      </c>
      <c r="H130" s="86">
        <v>0</v>
      </c>
      <c r="I130" s="86">
        <v>0</v>
      </c>
    </row>
    <row r="131" spans="1:9" ht="14.5" customHeight="1" x14ac:dyDescent="0.35">
      <c r="A131" s="11"/>
      <c r="B131" s="72" t="s">
        <v>121</v>
      </c>
      <c r="C131" s="72"/>
      <c r="D131" s="12"/>
      <c r="E131" s="87"/>
      <c r="F131" s="87"/>
      <c r="G131" s="87"/>
      <c r="H131" s="87"/>
      <c r="I131" s="87"/>
    </row>
    <row r="132" spans="1:9" ht="14.5" customHeight="1" x14ac:dyDescent="0.35">
      <c r="A132" s="11"/>
      <c r="B132" s="72" t="s">
        <v>122</v>
      </c>
      <c r="C132" s="72"/>
      <c r="D132" s="12"/>
      <c r="E132" s="87"/>
      <c r="F132" s="87"/>
      <c r="G132" s="87"/>
      <c r="H132" s="87"/>
      <c r="I132" s="87"/>
    </row>
    <row r="133" spans="1:9" ht="14.5" customHeight="1" x14ac:dyDescent="0.35">
      <c r="A133" s="11"/>
      <c r="B133" s="72" t="s">
        <v>123</v>
      </c>
      <c r="C133" s="72"/>
      <c r="D133" s="12"/>
      <c r="E133" s="86">
        <v>0</v>
      </c>
      <c r="F133" s="86">
        <v>0</v>
      </c>
      <c r="G133" s="86">
        <v>0</v>
      </c>
      <c r="H133" s="86">
        <v>0</v>
      </c>
      <c r="I133" s="86">
        <v>0</v>
      </c>
    </row>
    <row r="134" spans="1:9" ht="14.5" customHeight="1" x14ac:dyDescent="0.35">
      <c r="A134" s="11"/>
      <c r="B134" s="72" t="s">
        <v>124</v>
      </c>
      <c r="C134" s="72"/>
      <c r="D134" s="12"/>
      <c r="E134" s="87"/>
      <c r="F134" s="87"/>
      <c r="G134" s="87"/>
      <c r="H134" s="87"/>
      <c r="I134" s="87"/>
    </row>
    <row r="135" spans="1:9" ht="14.5" customHeight="1" x14ac:dyDescent="0.35">
      <c r="A135" s="11"/>
      <c r="B135" s="72" t="s">
        <v>125</v>
      </c>
      <c r="C135" s="72"/>
      <c r="D135" s="12"/>
      <c r="E135" s="87"/>
      <c r="F135" s="87"/>
      <c r="G135" s="87"/>
      <c r="H135" s="87"/>
      <c r="I135" s="87"/>
    </row>
    <row r="136" spans="1:9" ht="14.5" customHeight="1" x14ac:dyDescent="0.35">
      <c r="A136" s="11"/>
      <c r="B136" s="13"/>
      <c r="C136" s="13"/>
      <c r="D136" s="13"/>
      <c r="E136" s="7"/>
      <c r="F136" s="7"/>
      <c r="G136" s="7"/>
      <c r="H136" s="7"/>
      <c r="I136" s="7"/>
    </row>
    <row r="137" spans="1:9" ht="14.5" customHeight="1" x14ac:dyDescent="0.35">
      <c r="A137" s="11"/>
      <c r="B137" s="72" t="s">
        <v>126</v>
      </c>
      <c r="C137" s="72"/>
      <c r="D137" s="12"/>
      <c r="E137" s="86">
        <v>231000</v>
      </c>
      <c r="F137" s="86">
        <v>1476983</v>
      </c>
      <c r="G137" s="86">
        <v>760501</v>
      </c>
      <c r="H137" s="86">
        <v>651488</v>
      </c>
      <c r="I137" s="86">
        <v>563742</v>
      </c>
    </row>
    <row r="138" spans="1:9" ht="14.5" customHeight="1" x14ac:dyDescent="0.35">
      <c r="A138" s="11"/>
      <c r="B138" s="72" t="s">
        <v>127</v>
      </c>
      <c r="C138" s="72"/>
      <c r="D138" s="12"/>
      <c r="E138" s="86">
        <v>0</v>
      </c>
      <c r="F138" s="86">
        <v>0</v>
      </c>
      <c r="G138" s="86">
        <v>0</v>
      </c>
      <c r="H138" s="86">
        <v>0</v>
      </c>
      <c r="I138" s="86">
        <v>0</v>
      </c>
    </row>
    <row r="139" spans="1:9" ht="14.5" customHeight="1" x14ac:dyDescent="0.35">
      <c r="A139" s="11"/>
      <c r="B139" s="72" t="s">
        <v>128</v>
      </c>
      <c r="C139" s="72"/>
      <c r="D139" s="12"/>
      <c r="E139" s="86">
        <v>0</v>
      </c>
      <c r="F139" s="86">
        <v>0</v>
      </c>
      <c r="G139" s="86">
        <v>0</v>
      </c>
      <c r="H139" s="86">
        <v>0</v>
      </c>
      <c r="I139" s="86">
        <v>0</v>
      </c>
    </row>
    <row r="140" spans="1:9" ht="14.5" customHeight="1" x14ac:dyDescent="0.35">
      <c r="A140" s="11"/>
      <c r="B140" s="72" t="s">
        <v>129</v>
      </c>
      <c r="C140" s="72"/>
      <c r="D140" s="12"/>
      <c r="E140" s="86">
        <v>0</v>
      </c>
      <c r="F140" s="86">
        <v>0</v>
      </c>
      <c r="G140" s="86">
        <v>89167</v>
      </c>
      <c r="H140" s="86">
        <v>0</v>
      </c>
      <c r="I140" s="86">
        <v>0</v>
      </c>
    </row>
    <row r="141" spans="1:9" ht="14.5" customHeight="1" x14ac:dyDescent="0.35">
      <c r="A141" s="11"/>
      <c r="B141" s="72" t="s">
        <v>130</v>
      </c>
      <c r="C141" s="72"/>
      <c r="D141" s="12"/>
      <c r="E141" s="86">
        <v>231000</v>
      </c>
      <c r="F141" s="86">
        <v>1476983</v>
      </c>
      <c r="G141" s="86">
        <v>671334</v>
      </c>
      <c r="H141" s="86">
        <v>651488</v>
      </c>
      <c r="I141" s="86">
        <v>563742</v>
      </c>
    </row>
    <row r="142" spans="1:9" ht="14.5" customHeight="1" x14ac:dyDescent="0.35">
      <c r="A142" s="11"/>
      <c r="B142" s="72" t="s">
        <v>131</v>
      </c>
      <c r="C142" s="72"/>
      <c r="D142" s="12"/>
      <c r="E142" s="87"/>
      <c r="F142" s="87"/>
      <c r="G142" s="87"/>
      <c r="H142" s="87"/>
      <c r="I142" s="87"/>
    </row>
    <row r="143" spans="1:9" ht="14.5" customHeight="1" x14ac:dyDescent="0.35">
      <c r="A143" s="11"/>
      <c r="B143" s="13"/>
      <c r="C143" s="13"/>
      <c r="D143" s="13"/>
      <c r="E143" s="7"/>
      <c r="F143" s="7"/>
      <c r="G143" s="7"/>
      <c r="H143" s="7"/>
      <c r="I143" s="7"/>
    </row>
    <row r="144" spans="1:9" ht="14.5" customHeight="1" x14ac:dyDescent="0.35">
      <c r="A144" s="11"/>
      <c r="B144" s="72" t="s">
        <v>132</v>
      </c>
      <c r="C144" s="72"/>
      <c r="D144" s="12"/>
      <c r="E144" s="86">
        <v>1173356</v>
      </c>
      <c r="F144" s="86">
        <v>1090778</v>
      </c>
      <c r="G144" s="86">
        <v>990464</v>
      </c>
      <c r="H144" s="86">
        <v>978525</v>
      </c>
      <c r="I144" s="86">
        <v>896616</v>
      </c>
    </row>
    <row r="145" spans="1:9" ht="14.5" customHeight="1" x14ac:dyDescent="0.35">
      <c r="A145" s="11"/>
      <c r="B145" s="13"/>
      <c r="C145" s="13"/>
      <c r="D145" s="13"/>
      <c r="E145" s="7"/>
      <c r="F145" s="7"/>
      <c r="G145" s="7"/>
      <c r="H145" s="7"/>
      <c r="I145" s="7"/>
    </row>
    <row r="146" spans="1:9" ht="14.5" customHeight="1" x14ac:dyDescent="0.35">
      <c r="A146" s="15"/>
      <c r="B146" s="75" t="s">
        <v>133</v>
      </c>
      <c r="C146" s="75"/>
      <c r="D146" s="16"/>
      <c r="E146" s="17"/>
      <c r="F146" s="17"/>
      <c r="G146" s="17"/>
      <c r="H146" s="17"/>
      <c r="I146" s="17"/>
    </row>
    <row r="147" spans="1:9" ht="14.5" customHeight="1" x14ac:dyDescent="0.35">
      <c r="A147" s="11"/>
      <c r="B147" s="13"/>
      <c r="C147" s="13"/>
      <c r="D147" s="13"/>
      <c r="E147" s="7"/>
      <c r="F147" s="7"/>
      <c r="G147" s="7"/>
      <c r="H147" s="7"/>
      <c r="I147" s="7"/>
    </row>
    <row r="148" spans="1:9" ht="14.5" customHeight="1" x14ac:dyDescent="0.35">
      <c r="A148" s="11"/>
      <c r="B148" s="72" t="s">
        <v>134</v>
      </c>
      <c r="C148" s="72"/>
      <c r="D148" s="12"/>
      <c r="E148" s="86">
        <v>38742067</v>
      </c>
      <c r="F148" s="86">
        <v>59468139</v>
      </c>
      <c r="G148" s="86">
        <v>66722658</v>
      </c>
      <c r="H148" s="86">
        <v>70707806</v>
      </c>
      <c r="I148" s="86">
        <v>74358928</v>
      </c>
    </row>
    <row r="149" spans="1:9" ht="14.5" customHeight="1" x14ac:dyDescent="0.35">
      <c r="A149" s="11"/>
      <c r="B149" s="72" t="s">
        <v>135</v>
      </c>
      <c r="C149" s="72"/>
      <c r="D149" s="12"/>
      <c r="E149" s="86">
        <v>0</v>
      </c>
      <c r="F149" s="86">
        <v>0</v>
      </c>
      <c r="G149" s="86">
        <v>0</v>
      </c>
      <c r="H149" s="86">
        <v>0</v>
      </c>
      <c r="I149" s="86">
        <v>0</v>
      </c>
    </row>
    <row r="150" spans="1:9" ht="14.5" customHeight="1" x14ac:dyDescent="0.35">
      <c r="A150" s="11"/>
      <c r="B150" s="72" t="s">
        <v>136</v>
      </c>
      <c r="C150" s="72"/>
      <c r="D150" s="12"/>
      <c r="E150" s="86">
        <v>0</v>
      </c>
      <c r="F150" s="86">
        <v>0</v>
      </c>
      <c r="G150" s="86">
        <v>0</v>
      </c>
      <c r="H150" s="86">
        <v>0</v>
      </c>
      <c r="I150" s="86">
        <v>0</v>
      </c>
    </row>
    <row r="151" spans="1:9" ht="14.5" customHeight="1" x14ac:dyDescent="0.35">
      <c r="A151" s="11"/>
      <c r="B151" s="72" t="s">
        <v>137</v>
      </c>
      <c r="C151" s="72"/>
      <c r="D151" s="12"/>
      <c r="E151" s="86">
        <v>0</v>
      </c>
      <c r="F151" s="86">
        <v>0</v>
      </c>
      <c r="G151" s="86">
        <v>0</v>
      </c>
      <c r="H151" s="86">
        <v>0</v>
      </c>
      <c r="I151" s="86">
        <v>0</v>
      </c>
    </row>
    <row r="152" spans="1:9" ht="14.5" customHeight="1" x14ac:dyDescent="0.35">
      <c r="A152" s="11"/>
      <c r="B152" s="72" t="s">
        <v>138</v>
      </c>
      <c r="C152" s="72"/>
      <c r="D152" s="12"/>
      <c r="E152" s="86">
        <v>0</v>
      </c>
      <c r="F152" s="86">
        <v>0</v>
      </c>
      <c r="G152" s="86">
        <v>0</v>
      </c>
      <c r="H152" s="86">
        <v>0</v>
      </c>
      <c r="I152" s="86">
        <v>0</v>
      </c>
    </row>
    <row r="153" spans="1:9" s="23" customFormat="1" ht="14.5" customHeight="1" x14ac:dyDescent="0.35">
      <c r="A153" s="21"/>
      <c r="B153" s="74" t="s">
        <v>139</v>
      </c>
      <c r="C153" s="74"/>
      <c r="D153" s="22"/>
      <c r="E153" s="97">
        <v>16845000</v>
      </c>
      <c r="F153" s="86">
        <v>0</v>
      </c>
      <c r="G153" s="86">
        <v>0</v>
      </c>
      <c r="H153" s="86">
        <v>0</v>
      </c>
      <c r="I153" s="86">
        <v>0</v>
      </c>
    </row>
    <row r="154" spans="1:9" s="23" customFormat="1" ht="14.5" customHeight="1" x14ac:dyDescent="0.35">
      <c r="A154" s="21"/>
      <c r="B154" s="74" t="s">
        <v>140</v>
      </c>
      <c r="C154" s="74"/>
      <c r="D154" s="22"/>
      <c r="E154" s="86">
        <v>0</v>
      </c>
      <c r="F154" s="86">
        <v>0</v>
      </c>
      <c r="G154" s="86">
        <v>0</v>
      </c>
      <c r="H154" s="86">
        <v>0</v>
      </c>
      <c r="I154" s="86">
        <v>0</v>
      </c>
    </row>
    <row r="155" spans="1:9" ht="14.5" customHeight="1" x14ac:dyDescent="0.35">
      <c r="A155" s="11"/>
      <c r="B155" s="72" t="s">
        <v>141</v>
      </c>
      <c r="C155" s="72"/>
      <c r="D155" s="12"/>
      <c r="E155" s="86">
        <v>3201894</v>
      </c>
      <c r="F155" s="86">
        <v>7700393</v>
      </c>
      <c r="G155" s="86">
        <v>7851668</v>
      </c>
      <c r="H155" s="86">
        <v>10314899</v>
      </c>
      <c r="I155" s="97">
        <v>13746316</v>
      </c>
    </row>
    <row r="156" spans="1:9" ht="14.5" customHeight="1" x14ac:dyDescent="0.35">
      <c r="A156" s="11"/>
      <c r="B156" s="72" t="s">
        <v>142</v>
      </c>
      <c r="C156" s="72"/>
      <c r="D156" s="12"/>
      <c r="E156" s="86">
        <v>0</v>
      </c>
      <c r="F156" s="86">
        <v>33685954</v>
      </c>
      <c r="G156" s="86">
        <v>41917263</v>
      </c>
      <c r="H156" s="86">
        <v>38441339</v>
      </c>
      <c r="I156" s="97">
        <v>41026206</v>
      </c>
    </row>
    <row r="157" spans="1:9" ht="14.5" customHeight="1" x14ac:dyDescent="0.35">
      <c r="A157" s="11"/>
      <c r="B157" s="72" t="s">
        <v>143</v>
      </c>
      <c r="C157" s="72"/>
      <c r="D157" s="12"/>
      <c r="E157" s="86">
        <v>315767</v>
      </c>
      <c r="F157" s="86">
        <v>139628</v>
      </c>
      <c r="G157" s="86">
        <v>552167</v>
      </c>
      <c r="H157" s="86">
        <v>60274</v>
      </c>
      <c r="I157" s="86">
        <v>38769</v>
      </c>
    </row>
    <row r="158" spans="1:9" ht="14.5" customHeight="1" x14ac:dyDescent="0.35">
      <c r="A158" s="11"/>
      <c r="B158" s="72" t="s">
        <v>144</v>
      </c>
      <c r="C158" s="72"/>
      <c r="D158" s="12"/>
      <c r="E158" s="86">
        <v>0</v>
      </c>
      <c r="F158" s="86">
        <v>0</v>
      </c>
      <c r="G158" s="86">
        <v>0</v>
      </c>
      <c r="H158" s="86">
        <v>360000</v>
      </c>
      <c r="I158" s="86">
        <v>360000</v>
      </c>
    </row>
    <row r="159" spans="1:9" ht="14.5" customHeight="1" x14ac:dyDescent="0.35">
      <c r="A159" s="11"/>
      <c r="B159" s="72" t="s">
        <v>145</v>
      </c>
      <c r="C159" s="72"/>
      <c r="D159" s="12"/>
      <c r="E159" s="86">
        <v>1205299</v>
      </c>
      <c r="F159" s="86">
        <v>457898</v>
      </c>
      <c r="G159" s="86">
        <v>505553</v>
      </c>
      <c r="H159" s="86">
        <v>165008</v>
      </c>
      <c r="I159" s="86">
        <v>190523</v>
      </c>
    </row>
    <row r="160" spans="1:9" ht="14.5" customHeight="1" x14ac:dyDescent="0.35">
      <c r="A160" s="11"/>
      <c r="B160" s="72" t="s">
        <v>146</v>
      </c>
      <c r="C160" s="72"/>
      <c r="D160" s="12"/>
      <c r="E160" s="86">
        <v>0</v>
      </c>
      <c r="F160" s="86">
        <v>0</v>
      </c>
      <c r="G160" s="86">
        <v>0</v>
      </c>
      <c r="H160" s="86">
        <v>0</v>
      </c>
      <c r="I160" s="86">
        <v>0</v>
      </c>
    </row>
    <row r="161" spans="1:9" ht="14.5" customHeight="1" x14ac:dyDescent="0.35">
      <c r="A161" s="11"/>
      <c r="B161" s="72" t="s">
        <v>147</v>
      </c>
      <c r="C161" s="72"/>
      <c r="D161" s="12"/>
      <c r="E161" s="86">
        <v>12856538</v>
      </c>
      <c r="F161" s="86">
        <v>13225109</v>
      </c>
      <c r="G161" s="86">
        <v>11602690</v>
      </c>
      <c r="H161" s="97">
        <v>17881385</v>
      </c>
      <c r="I161" s="86">
        <v>15903685</v>
      </c>
    </row>
    <row r="162" spans="1:9" ht="14.5" customHeight="1" x14ac:dyDescent="0.35">
      <c r="A162" s="11"/>
      <c r="B162" s="72" t="s">
        <v>148</v>
      </c>
      <c r="C162" s="72"/>
      <c r="D162" s="12"/>
      <c r="E162" s="86">
        <v>1996</v>
      </c>
      <c r="F162" s="86">
        <v>0</v>
      </c>
      <c r="G162" s="86">
        <v>0</v>
      </c>
      <c r="H162" s="86">
        <v>0</v>
      </c>
      <c r="I162" s="86">
        <v>0</v>
      </c>
    </row>
    <row r="163" spans="1:9" ht="14.5" customHeight="1" x14ac:dyDescent="0.35">
      <c r="A163" s="11"/>
      <c r="B163" s="72" t="s">
        <v>149</v>
      </c>
      <c r="C163" s="72"/>
      <c r="D163" s="12"/>
      <c r="E163" s="86">
        <v>0</v>
      </c>
      <c r="F163" s="86">
        <v>0</v>
      </c>
      <c r="G163" s="86">
        <v>0</v>
      </c>
      <c r="H163" s="86">
        <v>0</v>
      </c>
      <c r="I163" s="86">
        <v>0</v>
      </c>
    </row>
    <row r="164" spans="1:9" ht="14.5" customHeight="1" x14ac:dyDescent="0.35">
      <c r="A164" s="11"/>
      <c r="B164" s="72" t="s">
        <v>150</v>
      </c>
      <c r="C164" s="72"/>
      <c r="D164" s="12"/>
      <c r="E164" s="86">
        <v>0</v>
      </c>
      <c r="F164" s="86">
        <v>0</v>
      </c>
      <c r="G164" s="86">
        <v>0</v>
      </c>
      <c r="H164" s="86">
        <v>0</v>
      </c>
      <c r="I164" s="86">
        <v>0</v>
      </c>
    </row>
    <row r="165" spans="1:9" ht="14.5" customHeight="1" x14ac:dyDescent="0.35">
      <c r="A165" s="11"/>
      <c r="B165" s="72" t="s">
        <v>151</v>
      </c>
      <c r="C165" s="72"/>
      <c r="D165" s="12"/>
      <c r="E165" s="86">
        <v>0</v>
      </c>
      <c r="F165" s="86">
        <v>30696</v>
      </c>
      <c r="G165" s="86">
        <v>46361</v>
      </c>
      <c r="H165" s="86">
        <v>33179</v>
      </c>
      <c r="I165" s="86">
        <v>0</v>
      </c>
    </row>
    <row r="166" spans="1:9" ht="14.5" customHeight="1" x14ac:dyDescent="0.35">
      <c r="A166" s="11"/>
      <c r="B166" s="72" t="s">
        <v>152</v>
      </c>
      <c r="C166" s="72"/>
      <c r="D166" s="12"/>
      <c r="E166" s="86">
        <v>0</v>
      </c>
      <c r="F166" s="86">
        <v>0</v>
      </c>
      <c r="G166" s="86">
        <v>0</v>
      </c>
      <c r="H166" s="86">
        <v>0</v>
      </c>
      <c r="I166" s="86">
        <v>0</v>
      </c>
    </row>
    <row r="167" spans="1:9" ht="14.5" customHeight="1" x14ac:dyDescent="0.35">
      <c r="A167" s="11"/>
      <c r="B167" s="72" t="s">
        <v>153</v>
      </c>
      <c r="C167" s="72"/>
      <c r="D167" s="12"/>
      <c r="E167" s="86">
        <v>0</v>
      </c>
      <c r="F167" s="86">
        <v>0</v>
      </c>
      <c r="G167" s="86">
        <v>0</v>
      </c>
      <c r="H167" s="86">
        <v>0</v>
      </c>
      <c r="I167" s="86">
        <v>0</v>
      </c>
    </row>
    <row r="168" spans="1:9" ht="14.5" customHeight="1" x14ac:dyDescent="0.35">
      <c r="A168" s="11"/>
      <c r="B168" s="72" t="s">
        <v>154</v>
      </c>
      <c r="C168" s="72"/>
      <c r="D168" s="12"/>
      <c r="E168" s="86">
        <v>0</v>
      </c>
      <c r="F168" s="86">
        <v>0</v>
      </c>
      <c r="G168" s="86">
        <v>0</v>
      </c>
      <c r="H168" s="86">
        <v>0</v>
      </c>
      <c r="I168" s="86">
        <v>0</v>
      </c>
    </row>
    <row r="169" spans="1:9" ht="14.5" customHeight="1" x14ac:dyDescent="0.35">
      <c r="A169" s="11"/>
      <c r="B169" s="72" t="s">
        <v>155</v>
      </c>
      <c r="C169" s="72"/>
      <c r="D169" s="12"/>
      <c r="E169" s="86">
        <v>0</v>
      </c>
      <c r="F169" s="86">
        <v>0</v>
      </c>
      <c r="G169" s="86">
        <v>0</v>
      </c>
      <c r="H169" s="86">
        <v>0</v>
      </c>
      <c r="I169" s="86">
        <v>0</v>
      </c>
    </row>
    <row r="170" spans="1:9" ht="14.5" customHeight="1" x14ac:dyDescent="0.35">
      <c r="A170" s="11"/>
      <c r="B170" s="72" t="s">
        <v>156</v>
      </c>
      <c r="C170" s="72"/>
      <c r="D170" s="12"/>
      <c r="E170" s="86">
        <v>0</v>
      </c>
      <c r="F170" s="86">
        <v>0</v>
      </c>
      <c r="G170" s="86">
        <v>0</v>
      </c>
      <c r="H170" s="86">
        <v>0</v>
      </c>
      <c r="I170" s="86">
        <v>0</v>
      </c>
    </row>
    <row r="171" spans="1:9" ht="14.5" customHeight="1" x14ac:dyDescent="0.35">
      <c r="A171" s="11"/>
      <c r="B171" s="72" t="s">
        <v>157</v>
      </c>
      <c r="C171" s="72"/>
      <c r="D171" s="12"/>
      <c r="E171" s="86">
        <v>0</v>
      </c>
      <c r="F171" s="86">
        <v>0</v>
      </c>
      <c r="G171" s="86">
        <v>0</v>
      </c>
      <c r="H171" s="86">
        <v>0</v>
      </c>
      <c r="I171" s="86">
        <v>0</v>
      </c>
    </row>
    <row r="172" spans="1:9" ht="14.5" customHeight="1" x14ac:dyDescent="0.35">
      <c r="A172" s="11"/>
      <c r="B172" s="72" t="s">
        <v>158</v>
      </c>
      <c r="C172" s="72"/>
      <c r="D172" s="12"/>
      <c r="E172" s="86">
        <v>0</v>
      </c>
      <c r="F172" s="86">
        <v>0</v>
      </c>
      <c r="G172" s="86">
        <v>0</v>
      </c>
      <c r="H172" s="86">
        <v>0</v>
      </c>
      <c r="I172" s="86">
        <v>0</v>
      </c>
    </row>
    <row r="173" spans="1:9" ht="14.5" customHeight="1" x14ac:dyDescent="0.35">
      <c r="A173" s="11"/>
      <c r="B173" s="72" t="s">
        <v>159</v>
      </c>
      <c r="C173" s="72"/>
      <c r="D173" s="12"/>
      <c r="E173" s="86">
        <v>1563934</v>
      </c>
      <c r="F173" s="86">
        <v>700605</v>
      </c>
      <c r="G173" s="86">
        <v>772636</v>
      </c>
      <c r="H173" s="86">
        <v>589808</v>
      </c>
      <c r="I173" s="86">
        <v>616259</v>
      </c>
    </row>
    <row r="174" spans="1:9" ht="14.5" customHeight="1" x14ac:dyDescent="0.35">
      <c r="A174" s="11"/>
      <c r="B174" s="72" t="s">
        <v>160</v>
      </c>
      <c r="C174" s="72"/>
      <c r="D174" s="12"/>
      <c r="E174" s="86">
        <v>0</v>
      </c>
      <c r="F174" s="86">
        <v>0</v>
      </c>
      <c r="G174" s="86">
        <v>114183</v>
      </c>
      <c r="H174" s="86">
        <v>57091</v>
      </c>
      <c r="I174" s="86">
        <v>0</v>
      </c>
    </row>
    <row r="175" spans="1:9" ht="14.5" customHeight="1" x14ac:dyDescent="0.35">
      <c r="A175" s="11"/>
      <c r="B175" s="72" t="s">
        <v>161</v>
      </c>
      <c r="C175" s="72"/>
      <c r="D175" s="12"/>
      <c r="E175" s="86">
        <v>1106947</v>
      </c>
      <c r="F175" s="86">
        <v>1259107</v>
      </c>
      <c r="G175" s="86">
        <v>1232933</v>
      </c>
      <c r="H175" s="86">
        <v>1042476</v>
      </c>
      <c r="I175" s="86">
        <v>891030</v>
      </c>
    </row>
    <row r="176" spans="1:9" ht="14.5" customHeight="1" x14ac:dyDescent="0.35">
      <c r="A176" s="11"/>
      <c r="B176" s="72" t="s">
        <v>162</v>
      </c>
      <c r="C176" s="72"/>
      <c r="D176" s="12"/>
      <c r="E176" s="86">
        <v>0</v>
      </c>
      <c r="F176" s="86">
        <v>0</v>
      </c>
      <c r="G176" s="86">
        <v>0</v>
      </c>
      <c r="H176" s="86">
        <v>0</v>
      </c>
      <c r="I176" s="86">
        <v>0</v>
      </c>
    </row>
    <row r="177" spans="1:9" ht="14.5" customHeight="1" x14ac:dyDescent="0.35">
      <c r="A177" s="11"/>
      <c r="B177" s="72" t="s">
        <v>163</v>
      </c>
      <c r="C177" s="72"/>
      <c r="D177" s="12"/>
      <c r="E177" s="86">
        <v>1644692</v>
      </c>
      <c r="F177" s="86">
        <v>2268749</v>
      </c>
      <c r="G177" s="86">
        <v>2127204</v>
      </c>
      <c r="H177" s="86">
        <v>1762347</v>
      </c>
      <c r="I177" s="86">
        <v>1586140</v>
      </c>
    </row>
    <row r="178" spans="1:9" ht="14.5" customHeight="1" x14ac:dyDescent="0.35">
      <c r="A178" s="11"/>
      <c r="B178" s="72" t="s">
        <v>164</v>
      </c>
      <c r="C178" s="72"/>
      <c r="D178" s="12"/>
      <c r="E178" s="86">
        <v>0</v>
      </c>
      <c r="F178" s="86">
        <v>0</v>
      </c>
      <c r="G178" s="86">
        <v>0</v>
      </c>
      <c r="H178" s="86">
        <v>0</v>
      </c>
      <c r="I178" s="86">
        <v>0</v>
      </c>
    </row>
    <row r="179" spans="1:9" ht="14.5" customHeight="1" x14ac:dyDescent="0.35">
      <c r="A179" s="11"/>
      <c r="B179" s="72" t="s">
        <v>165</v>
      </c>
      <c r="C179" s="72"/>
      <c r="D179" s="12"/>
      <c r="E179" s="86">
        <v>38740071</v>
      </c>
      <c r="F179" s="86">
        <v>25782185</v>
      </c>
      <c r="G179" s="86">
        <v>24691212</v>
      </c>
      <c r="H179" s="86">
        <v>31849376</v>
      </c>
      <c r="I179" s="86">
        <v>32972722</v>
      </c>
    </row>
    <row r="180" spans="1:9" ht="14.5" customHeight="1" x14ac:dyDescent="0.35">
      <c r="A180" s="11"/>
      <c r="B180" s="72" t="s">
        <v>166</v>
      </c>
      <c r="C180" s="72"/>
      <c r="D180" s="12"/>
      <c r="E180" s="86">
        <v>1996</v>
      </c>
      <c r="F180" s="86">
        <v>33685954</v>
      </c>
      <c r="G180" s="86">
        <v>42031446</v>
      </c>
      <c r="H180" s="86">
        <v>38858430</v>
      </c>
      <c r="I180" s="86">
        <v>41386206</v>
      </c>
    </row>
    <row r="181" spans="1:9" ht="14.5" customHeight="1" x14ac:dyDescent="0.35">
      <c r="A181" s="11"/>
      <c r="B181" s="13"/>
      <c r="C181" s="13"/>
      <c r="D181" s="13"/>
      <c r="E181" s="7"/>
      <c r="F181" s="7"/>
      <c r="G181" s="7"/>
      <c r="H181" s="7"/>
      <c r="I181" s="7"/>
    </row>
    <row r="182" spans="1:9" ht="14.5" customHeight="1" x14ac:dyDescent="0.35">
      <c r="A182" s="11"/>
      <c r="B182" s="72" t="s">
        <v>167</v>
      </c>
      <c r="C182" s="72"/>
      <c r="D182" s="12"/>
      <c r="E182" s="86">
        <v>38740071</v>
      </c>
      <c r="F182" s="86">
        <v>25782185</v>
      </c>
      <c r="G182" s="86">
        <v>24691212</v>
      </c>
      <c r="H182" s="86">
        <v>31849376</v>
      </c>
      <c r="I182" s="86">
        <v>32972722</v>
      </c>
    </row>
    <row r="183" spans="1:9" ht="14.5" customHeight="1" x14ac:dyDescent="0.35">
      <c r="A183" s="11"/>
      <c r="B183" s="72" t="s">
        <v>168</v>
      </c>
      <c r="C183" s="72"/>
      <c r="D183" s="12"/>
      <c r="E183" s="86">
        <v>1996</v>
      </c>
      <c r="F183" s="86">
        <v>33685954</v>
      </c>
      <c r="G183" s="86">
        <v>42031446</v>
      </c>
      <c r="H183" s="86">
        <v>38858430</v>
      </c>
      <c r="I183" s="86">
        <v>41386206</v>
      </c>
    </row>
    <row r="184" spans="1:9" ht="14.5" customHeight="1" x14ac:dyDescent="0.35">
      <c r="A184" s="11"/>
      <c r="B184" s="13"/>
      <c r="C184" s="13"/>
      <c r="D184" s="13"/>
      <c r="E184" s="7"/>
      <c r="F184" s="7"/>
      <c r="G184" s="7"/>
      <c r="H184" s="7"/>
      <c r="I184" s="7"/>
    </row>
    <row r="185" spans="1:9" ht="14.5" customHeight="1" x14ac:dyDescent="0.35">
      <c r="A185" s="11"/>
      <c r="B185" s="72" t="s">
        <v>169</v>
      </c>
      <c r="C185" s="72"/>
      <c r="D185" s="12"/>
      <c r="E185" s="86">
        <v>324828</v>
      </c>
      <c r="F185" s="86">
        <v>52999</v>
      </c>
      <c r="G185" s="86">
        <v>324930</v>
      </c>
      <c r="H185" s="86">
        <v>249492</v>
      </c>
      <c r="I185" s="86">
        <v>139343</v>
      </c>
    </row>
    <row r="186" spans="1:9" ht="14.5" customHeight="1" x14ac:dyDescent="0.35">
      <c r="A186" s="11"/>
      <c r="B186" s="72" t="s">
        <v>170</v>
      </c>
      <c r="C186" s="72"/>
      <c r="D186" s="12"/>
      <c r="E186" s="87"/>
      <c r="F186" s="87"/>
      <c r="G186" s="87"/>
      <c r="H186" s="87"/>
      <c r="I186" s="87"/>
    </row>
    <row r="187" spans="1:9" ht="14.5" customHeight="1" x14ac:dyDescent="0.35">
      <c r="A187" s="11"/>
      <c r="B187" s="13"/>
      <c r="C187" s="13"/>
      <c r="D187" s="13"/>
      <c r="E187" s="7"/>
      <c r="F187" s="7"/>
      <c r="G187" s="7"/>
      <c r="H187" s="7"/>
      <c r="I187" s="7"/>
    </row>
    <row r="188" spans="1:9" ht="14.5" customHeight="1" x14ac:dyDescent="0.35">
      <c r="A188" s="11"/>
      <c r="B188" s="72" t="s">
        <v>171</v>
      </c>
      <c r="C188" s="72"/>
      <c r="D188" s="12"/>
      <c r="E188" s="86">
        <v>149261914</v>
      </c>
      <c r="F188" s="86">
        <v>139609294</v>
      </c>
      <c r="G188" s="86">
        <v>138200324</v>
      </c>
      <c r="H188" s="86">
        <v>120283075</v>
      </c>
      <c r="I188" s="86">
        <v>115504851</v>
      </c>
    </row>
    <row r="189" spans="1:9" ht="14.5" customHeight="1" x14ac:dyDescent="0.35">
      <c r="A189" s="11"/>
      <c r="B189" s="13"/>
      <c r="C189" s="13"/>
      <c r="D189" s="13"/>
      <c r="E189" s="7"/>
      <c r="F189" s="7"/>
      <c r="G189" s="7"/>
      <c r="H189" s="7"/>
      <c r="I189" s="7"/>
    </row>
    <row r="190" spans="1:9" ht="14.5" customHeight="1" x14ac:dyDescent="0.35">
      <c r="A190" s="11"/>
      <c r="B190" s="72" t="s">
        <v>172</v>
      </c>
      <c r="C190" s="72"/>
      <c r="D190" s="12"/>
      <c r="E190" s="86">
        <v>0</v>
      </c>
      <c r="F190" s="86">
        <v>0</v>
      </c>
      <c r="G190" s="86">
        <v>0</v>
      </c>
      <c r="H190" s="86">
        <v>0</v>
      </c>
      <c r="I190" s="86">
        <v>0</v>
      </c>
    </row>
    <row r="191" spans="1:9" ht="14.5" customHeight="1" x14ac:dyDescent="0.35">
      <c r="A191" s="11"/>
      <c r="B191" s="72" t="s">
        <v>173</v>
      </c>
      <c r="C191" s="72"/>
      <c r="D191" s="12"/>
      <c r="E191" s="86">
        <v>0</v>
      </c>
      <c r="F191" s="86">
        <v>0</v>
      </c>
      <c r="G191" s="86">
        <v>0</v>
      </c>
      <c r="H191" s="86">
        <v>0</v>
      </c>
      <c r="I191" s="86">
        <v>0</v>
      </c>
    </row>
    <row r="192" spans="1:9" ht="14.5" customHeight="1" x14ac:dyDescent="0.35">
      <c r="A192" s="11"/>
      <c r="B192" s="13"/>
      <c r="C192" s="13"/>
      <c r="D192" s="13"/>
      <c r="E192" s="7"/>
      <c r="F192" s="7"/>
      <c r="G192" s="7"/>
      <c r="H192" s="7"/>
      <c r="I192" s="7"/>
    </row>
    <row r="193" spans="1:9" ht="14.5" customHeight="1" x14ac:dyDescent="0.35">
      <c r="A193" s="2"/>
      <c r="E193" s="90"/>
      <c r="F193" s="90"/>
      <c r="G193" s="90"/>
      <c r="H193" s="90"/>
      <c r="I193" s="90"/>
    </row>
    <row r="194" spans="1:9" ht="14.5" customHeight="1" x14ac:dyDescent="0.35">
      <c r="A194" s="18" t="s">
        <v>174</v>
      </c>
      <c r="B194" s="68"/>
      <c r="E194" s="90"/>
      <c r="F194" s="90"/>
      <c r="G194" s="90"/>
      <c r="H194" s="90"/>
      <c r="I194" s="90"/>
    </row>
    <row r="195" spans="1:9" ht="14.5" customHeight="1" x14ac:dyDescent="0.35">
      <c r="A195" s="2"/>
      <c r="E195" s="90"/>
      <c r="F195" s="90"/>
      <c r="G195" s="90"/>
      <c r="H195" s="90"/>
      <c r="I195" s="90"/>
    </row>
    <row r="196" spans="1:9" ht="34" customHeight="1" x14ac:dyDescent="0.35">
      <c r="A196" s="3"/>
      <c r="B196" s="76" t="s">
        <v>1</v>
      </c>
      <c r="C196" s="76"/>
      <c r="D196" s="4"/>
      <c r="E196" s="91" t="s">
        <v>6</v>
      </c>
      <c r="F196" s="91" t="s">
        <v>5</v>
      </c>
      <c r="G196" s="91" t="s">
        <v>4</v>
      </c>
      <c r="H196" s="91" t="s">
        <v>3</v>
      </c>
      <c r="I196" s="91" t="s">
        <v>2</v>
      </c>
    </row>
    <row r="197" spans="1:9" ht="34" customHeight="1" x14ac:dyDescent="0.35">
      <c r="A197" s="6"/>
      <c r="B197" s="7"/>
      <c r="C197" s="7"/>
      <c r="D197" s="7"/>
      <c r="E197" s="87" t="s">
        <v>392</v>
      </c>
      <c r="F197" s="87" t="s">
        <v>7</v>
      </c>
      <c r="G197" s="87" t="s">
        <v>7</v>
      </c>
      <c r="H197" s="87" t="s">
        <v>7</v>
      </c>
      <c r="I197" s="87" t="s">
        <v>7</v>
      </c>
    </row>
    <row r="198" spans="1:9" ht="14.5" customHeight="1" x14ac:dyDescent="0.35">
      <c r="A198" s="11"/>
      <c r="B198" s="72" t="s">
        <v>175</v>
      </c>
      <c r="C198" s="72"/>
      <c r="D198" s="12"/>
      <c r="E198" s="86">
        <v>26558581</v>
      </c>
      <c r="F198" s="86">
        <v>62013914</v>
      </c>
      <c r="G198" s="86">
        <v>55284161</v>
      </c>
      <c r="H198" s="86">
        <v>63345879</v>
      </c>
      <c r="I198" s="86">
        <v>68250842</v>
      </c>
    </row>
    <row r="199" spans="1:9" ht="14.5" customHeight="1" x14ac:dyDescent="0.35">
      <c r="A199" s="11"/>
      <c r="B199" s="72" t="s">
        <v>176</v>
      </c>
      <c r="C199" s="72"/>
      <c r="D199" s="12"/>
      <c r="E199" s="86">
        <v>25988929</v>
      </c>
      <c r="F199" s="86">
        <v>59665416</v>
      </c>
      <c r="G199" s="86">
        <v>53640468</v>
      </c>
      <c r="H199" s="86">
        <v>59122399</v>
      </c>
      <c r="I199" s="86">
        <v>66555149</v>
      </c>
    </row>
    <row r="200" spans="1:9" ht="14.5" customHeight="1" x14ac:dyDescent="0.35">
      <c r="A200" s="11"/>
      <c r="B200" s="72" t="s">
        <v>177</v>
      </c>
      <c r="C200" s="72"/>
      <c r="D200" s="12"/>
      <c r="E200" s="86">
        <v>212172</v>
      </c>
      <c r="F200" s="86">
        <v>-98382</v>
      </c>
      <c r="G200" s="86">
        <v>1034419</v>
      </c>
      <c r="H200" s="86">
        <v>2190395</v>
      </c>
      <c r="I200" s="86">
        <v>-1038933</v>
      </c>
    </row>
    <row r="201" spans="1:9" ht="14.5" customHeight="1" x14ac:dyDescent="0.35">
      <c r="A201" s="11"/>
      <c r="B201" s="72" t="s">
        <v>178</v>
      </c>
      <c r="C201" s="72"/>
      <c r="D201" s="12"/>
      <c r="E201" s="86">
        <v>0</v>
      </c>
      <c r="F201" s="86">
        <v>0</v>
      </c>
      <c r="G201" s="86">
        <v>0</v>
      </c>
      <c r="H201" s="86">
        <v>0</v>
      </c>
      <c r="I201" s="86">
        <v>0</v>
      </c>
    </row>
    <row r="202" spans="1:9" ht="14.5" customHeight="1" x14ac:dyDescent="0.35">
      <c r="A202" s="11"/>
      <c r="B202" s="72" t="s">
        <v>179</v>
      </c>
      <c r="C202" s="72"/>
      <c r="D202" s="12"/>
      <c r="E202" s="86">
        <v>212172</v>
      </c>
      <c r="F202" s="86">
        <v>-98382</v>
      </c>
      <c r="G202" s="86">
        <v>1034419</v>
      </c>
      <c r="H202" s="86">
        <v>2190395</v>
      </c>
      <c r="I202" s="86">
        <v>-1038933</v>
      </c>
    </row>
    <row r="203" spans="1:9" ht="14.5" customHeight="1" x14ac:dyDescent="0.35">
      <c r="A203" s="11"/>
      <c r="B203" s="72" t="s">
        <v>180</v>
      </c>
      <c r="C203" s="72"/>
      <c r="D203" s="12"/>
      <c r="E203" s="86">
        <v>0</v>
      </c>
      <c r="F203" s="86">
        <v>796013</v>
      </c>
      <c r="G203" s="86">
        <v>191081</v>
      </c>
      <c r="H203" s="86">
        <v>0</v>
      </c>
      <c r="I203" s="86">
        <v>0</v>
      </c>
    </row>
    <row r="204" spans="1:9" ht="14.5" customHeight="1" x14ac:dyDescent="0.35">
      <c r="A204" s="11"/>
      <c r="B204" s="72" t="s">
        <v>181</v>
      </c>
      <c r="C204" s="72"/>
      <c r="D204" s="12"/>
      <c r="E204" s="86">
        <v>357480</v>
      </c>
      <c r="F204" s="86">
        <v>1650867</v>
      </c>
      <c r="G204" s="86">
        <v>418193</v>
      </c>
      <c r="H204" s="86">
        <v>2033085</v>
      </c>
      <c r="I204" s="86">
        <v>2734626</v>
      </c>
    </row>
    <row r="205" spans="1:9" ht="14.5" customHeight="1" x14ac:dyDescent="0.35">
      <c r="A205" s="11"/>
      <c r="B205" s="72" t="s">
        <v>182</v>
      </c>
      <c r="C205" s="72"/>
      <c r="D205" s="12"/>
      <c r="E205" s="86">
        <v>129582</v>
      </c>
      <c r="F205" s="86">
        <v>1023939</v>
      </c>
      <c r="G205" s="86">
        <v>91135</v>
      </c>
      <c r="H205" s="86">
        <v>1871005</v>
      </c>
      <c r="I205" s="86">
        <v>2386497</v>
      </c>
    </row>
    <row r="206" spans="1:9" ht="14.5" customHeight="1" x14ac:dyDescent="0.35">
      <c r="A206" s="11"/>
      <c r="B206" s="13"/>
      <c r="C206" s="13"/>
      <c r="D206" s="13"/>
      <c r="E206" s="7"/>
      <c r="F206" s="7"/>
      <c r="G206" s="7"/>
      <c r="H206" s="7"/>
      <c r="I206" s="7"/>
    </row>
    <row r="207" spans="1:9" ht="14.5" customHeight="1" x14ac:dyDescent="0.35">
      <c r="A207" s="11"/>
      <c r="B207" s="72" t="s">
        <v>183</v>
      </c>
      <c r="C207" s="72"/>
      <c r="D207" s="12"/>
      <c r="E207" s="86">
        <v>28011815</v>
      </c>
      <c r="F207" s="86">
        <v>71311612</v>
      </c>
      <c r="G207" s="86">
        <v>68732920</v>
      </c>
      <c r="H207" s="86">
        <v>82554659</v>
      </c>
      <c r="I207" s="86">
        <v>80705135</v>
      </c>
    </row>
    <row r="208" spans="1:9" ht="14.5" customHeight="1" x14ac:dyDescent="0.35">
      <c r="A208" s="11"/>
      <c r="B208" s="72" t="s">
        <v>184</v>
      </c>
      <c r="C208" s="72"/>
      <c r="D208" s="12"/>
      <c r="E208" s="86">
        <v>6245876</v>
      </c>
      <c r="F208" s="86">
        <v>16602137</v>
      </c>
      <c r="G208" s="86">
        <v>16382549</v>
      </c>
      <c r="H208" s="86">
        <v>22332922</v>
      </c>
      <c r="I208" s="86">
        <v>22593859</v>
      </c>
    </row>
    <row r="209" spans="1:9" ht="14.5" customHeight="1" x14ac:dyDescent="0.35">
      <c r="A209" s="11"/>
      <c r="B209" s="72" t="s">
        <v>185</v>
      </c>
      <c r="C209" s="72"/>
      <c r="D209" s="12"/>
      <c r="E209" s="86">
        <v>7076794</v>
      </c>
      <c r="F209" s="86">
        <v>16662899</v>
      </c>
      <c r="G209" s="86">
        <v>14151606</v>
      </c>
      <c r="H209" s="86">
        <v>16596697</v>
      </c>
      <c r="I209" s="86">
        <v>20166079</v>
      </c>
    </row>
    <row r="210" spans="1:9" ht="14.5" customHeight="1" x14ac:dyDescent="0.35">
      <c r="A210" s="11"/>
      <c r="B210" s="72" t="s">
        <v>186</v>
      </c>
      <c r="C210" s="72"/>
      <c r="D210" s="12"/>
      <c r="E210" s="86">
        <v>1858804</v>
      </c>
      <c r="F210" s="86">
        <v>5220817</v>
      </c>
      <c r="G210" s="86">
        <v>5187521</v>
      </c>
      <c r="H210" s="86">
        <v>4648092</v>
      </c>
      <c r="I210" s="97">
        <v>4374596</v>
      </c>
    </row>
    <row r="211" spans="1:9" ht="14.5" customHeight="1" x14ac:dyDescent="0.35">
      <c r="A211" s="11"/>
      <c r="B211" s="72" t="s">
        <v>187</v>
      </c>
      <c r="C211" s="72"/>
      <c r="D211" s="12"/>
      <c r="E211" s="86">
        <v>6362944</v>
      </c>
      <c r="F211" s="86">
        <v>18082422</v>
      </c>
      <c r="G211" s="86">
        <v>17879917</v>
      </c>
      <c r="H211" s="86">
        <v>18465517</v>
      </c>
      <c r="I211" s="86">
        <v>18018719</v>
      </c>
    </row>
    <row r="212" spans="1:9" ht="14.5" customHeight="1" x14ac:dyDescent="0.35">
      <c r="A212" s="11"/>
      <c r="B212" s="72" t="s">
        <v>188</v>
      </c>
      <c r="C212" s="72"/>
      <c r="D212" s="12"/>
      <c r="E212" s="86">
        <v>4205594</v>
      </c>
      <c r="F212" s="86">
        <v>11861832</v>
      </c>
      <c r="G212" s="86">
        <v>11718512</v>
      </c>
      <c r="H212" s="86">
        <v>11934165</v>
      </c>
      <c r="I212" s="86">
        <v>12051480</v>
      </c>
    </row>
    <row r="213" spans="1:9" ht="14.5" customHeight="1" x14ac:dyDescent="0.35">
      <c r="A213" s="11"/>
      <c r="B213" s="72" t="s">
        <v>189</v>
      </c>
      <c r="C213" s="72"/>
      <c r="D213" s="12"/>
      <c r="E213" s="86">
        <v>1368188</v>
      </c>
      <c r="F213" s="86">
        <v>3913363</v>
      </c>
      <c r="G213" s="86">
        <v>4004761</v>
      </c>
      <c r="H213" s="86">
        <v>3767466</v>
      </c>
      <c r="I213" s="86">
        <v>3622520</v>
      </c>
    </row>
    <row r="214" spans="1:9" ht="14.5" customHeight="1" x14ac:dyDescent="0.35">
      <c r="A214" s="11"/>
      <c r="B214" s="72" t="s">
        <v>190</v>
      </c>
      <c r="C214" s="72"/>
      <c r="D214" s="12"/>
      <c r="E214" s="86">
        <v>319238</v>
      </c>
      <c r="F214" s="86">
        <v>787946</v>
      </c>
      <c r="G214" s="86">
        <v>833591</v>
      </c>
      <c r="H214" s="86">
        <v>876928</v>
      </c>
      <c r="I214" s="86">
        <v>896463</v>
      </c>
    </row>
    <row r="215" spans="1:9" ht="14.5" customHeight="1" x14ac:dyDescent="0.35">
      <c r="A215" s="11"/>
      <c r="B215" s="72" t="s">
        <v>191</v>
      </c>
      <c r="C215" s="72"/>
      <c r="D215" s="12"/>
      <c r="E215" s="86">
        <v>0</v>
      </c>
      <c r="F215" s="86">
        <v>0</v>
      </c>
      <c r="G215" s="86">
        <v>0</v>
      </c>
      <c r="H215" s="86">
        <v>0</v>
      </c>
      <c r="I215" s="86">
        <v>0</v>
      </c>
    </row>
    <row r="216" spans="1:9" ht="14.5" customHeight="1" x14ac:dyDescent="0.35">
      <c r="A216" s="11"/>
      <c r="B216" s="72" t="s">
        <v>192</v>
      </c>
      <c r="C216" s="72"/>
      <c r="D216" s="12"/>
      <c r="E216" s="86">
        <v>469924</v>
      </c>
      <c r="F216" s="86">
        <v>1519281</v>
      </c>
      <c r="G216" s="86">
        <v>1323053</v>
      </c>
      <c r="H216" s="86">
        <v>1886958</v>
      </c>
      <c r="I216" s="86">
        <v>1448256</v>
      </c>
    </row>
    <row r="217" spans="1:9" ht="14.5" customHeight="1" x14ac:dyDescent="0.35">
      <c r="A217" s="11"/>
      <c r="B217" s="72" t="s">
        <v>193</v>
      </c>
      <c r="C217" s="72"/>
      <c r="D217" s="12"/>
      <c r="E217" s="86">
        <v>789162</v>
      </c>
      <c r="F217" s="86">
        <v>2307227</v>
      </c>
      <c r="G217" s="86">
        <v>2156644</v>
      </c>
      <c r="H217" s="86">
        <v>2763886</v>
      </c>
      <c r="I217" s="86">
        <v>2344719</v>
      </c>
    </row>
    <row r="218" spans="1:9" ht="14.5" customHeight="1" x14ac:dyDescent="0.35">
      <c r="A218" s="11"/>
      <c r="B218" s="72" t="s">
        <v>194</v>
      </c>
      <c r="C218" s="72"/>
      <c r="D218" s="12"/>
      <c r="E218" s="86">
        <v>6157883</v>
      </c>
      <c r="F218" s="86">
        <v>14686454</v>
      </c>
      <c r="G218" s="86">
        <v>14973160</v>
      </c>
      <c r="H218" s="86">
        <v>19951849</v>
      </c>
      <c r="I218" s="86">
        <v>15390080</v>
      </c>
    </row>
    <row r="219" spans="1:9" ht="14.5" customHeight="1" x14ac:dyDescent="0.35">
      <c r="A219" s="11"/>
      <c r="B219" s="72" t="s">
        <v>195</v>
      </c>
      <c r="C219" s="72"/>
      <c r="D219" s="12"/>
      <c r="E219" s="86">
        <v>4997652</v>
      </c>
      <c r="F219" s="86">
        <v>11325543</v>
      </c>
      <c r="G219" s="86">
        <v>11346176</v>
      </c>
      <c r="H219" s="86">
        <v>11315804</v>
      </c>
      <c r="I219" s="86">
        <v>10884937</v>
      </c>
    </row>
    <row r="220" spans="1:9" ht="14.5" customHeight="1" x14ac:dyDescent="0.35">
      <c r="A220" s="11"/>
      <c r="B220" s="72" t="s">
        <v>196</v>
      </c>
      <c r="C220" s="72"/>
      <c r="D220" s="12"/>
      <c r="E220" s="86">
        <v>1084054</v>
      </c>
      <c r="F220" s="86">
        <v>3234327</v>
      </c>
      <c r="G220" s="86">
        <v>3574984</v>
      </c>
      <c r="H220" s="86">
        <v>4624775</v>
      </c>
      <c r="I220" s="86">
        <v>4428678</v>
      </c>
    </row>
    <row r="221" spans="1:9" ht="14.5" customHeight="1" x14ac:dyDescent="0.35">
      <c r="A221" s="11"/>
      <c r="B221" s="72" t="s">
        <v>197</v>
      </c>
      <c r="C221" s="72"/>
      <c r="D221" s="12"/>
      <c r="E221" s="86">
        <v>0</v>
      </c>
      <c r="F221" s="86">
        <v>0</v>
      </c>
      <c r="G221" s="86">
        <v>0</v>
      </c>
      <c r="H221" s="97">
        <v>4000000</v>
      </c>
      <c r="I221" s="86">
        <v>0</v>
      </c>
    </row>
    <row r="222" spans="1:9" ht="14.5" customHeight="1" x14ac:dyDescent="0.35">
      <c r="A222" s="11"/>
      <c r="B222" s="72" t="s">
        <v>198</v>
      </c>
      <c r="C222" s="72"/>
      <c r="D222" s="12"/>
      <c r="E222" s="86">
        <v>6081706</v>
      </c>
      <c r="F222" s="86">
        <v>14559870</v>
      </c>
      <c r="G222" s="86">
        <v>14921160</v>
      </c>
      <c r="H222" s="98">
        <v>19940579</v>
      </c>
      <c r="I222" s="86">
        <v>15313615</v>
      </c>
    </row>
    <row r="223" spans="1:9" ht="14.5" customHeight="1" x14ac:dyDescent="0.35">
      <c r="A223" s="11"/>
      <c r="B223" s="72" t="s">
        <v>199</v>
      </c>
      <c r="C223" s="72"/>
      <c r="D223" s="12"/>
      <c r="E223" s="86">
        <v>76177</v>
      </c>
      <c r="F223" s="86">
        <v>126584</v>
      </c>
      <c r="G223" s="86">
        <v>52000</v>
      </c>
      <c r="H223" s="86">
        <v>11270</v>
      </c>
      <c r="I223" s="86">
        <v>76465</v>
      </c>
    </row>
    <row r="224" spans="1:9" ht="14.5" customHeight="1" x14ac:dyDescent="0.35">
      <c r="A224" s="11"/>
      <c r="B224" s="72" t="s">
        <v>200</v>
      </c>
      <c r="C224" s="72"/>
      <c r="D224" s="12"/>
      <c r="E224" s="86">
        <v>174180</v>
      </c>
      <c r="F224" s="86">
        <v>-165615</v>
      </c>
      <c r="G224" s="86">
        <v>-496567</v>
      </c>
      <c r="H224" s="86">
        <v>-132569</v>
      </c>
      <c r="I224" s="86">
        <v>-139026</v>
      </c>
    </row>
    <row r="225" spans="1:9" ht="14.5" customHeight="1" x14ac:dyDescent="0.35">
      <c r="A225" s="11"/>
      <c r="B225" s="72" t="s">
        <v>201</v>
      </c>
      <c r="C225" s="72"/>
      <c r="D225" s="12"/>
      <c r="E225" s="86">
        <v>0</v>
      </c>
      <c r="F225" s="86">
        <v>0</v>
      </c>
      <c r="G225" s="86">
        <v>349670</v>
      </c>
      <c r="H225" s="86">
        <v>442839</v>
      </c>
      <c r="I225" s="86">
        <v>38325</v>
      </c>
    </row>
    <row r="226" spans="1:9" ht="14.5" customHeight="1" x14ac:dyDescent="0.35">
      <c r="A226" s="11"/>
      <c r="B226" s="72" t="s">
        <v>202</v>
      </c>
      <c r="C226" s="72"/>
      <c r="D226" s="12"/>
      <c r="E226" s="86">
        <v>0</v>
      </c>
      <c r="F226" s="86">
        <v>0</v>
      </c>
      <c r="G226" s="86">
        <v>0</v>
      </c>
      <c r="H226" s="86">
        <v>0</v>
      </c>
      <c r="I226" s="86">
        <v>0</v>
      </c>
    </row>
    <row r="227" spans="1:9" ht="14.5" customHeight="1" x14ac:dyDescent="0.35">
      <c r="A227" s="11"/>
      <c r="B227" s="72" t="s">
        <v>203</v>
      </c>
      <c r="C227" s="72"/>
      <c r="D227" s="12"/>
      <c r="E227" s="86">
        <v>135334</v>
      </c>
      <c r="F227" s="86">
        <v>222498</v>
      </c>
      <c r="G227" s="86">
        <v>305064</v>
      </c>
      <c r="H227" s="86">
        <v>249312</v>
      </c>
      <c r="I227" s="86">
        <v>262503</v>
      </c>
    </row>
    <row r="228" spans="1:9" ht="14.5" customHeight="1" x14ac:dyDescent="0.35">
      <c r="A228" s="11"/>
      <c r="B228" s="13"/>
      <c r="C228" s="13"/>
      <c r="D228" s="13"/>
      <c r="E228" s="7"/>
      <c r="F228" s="7"/>
      <c r="G228" s="7"/>
      <c r="H228" s="7"/>
      <c r="I228" s="7"/>
    </row>
    <row r="229" spans="1:9" ht="14.5" customHeight="1" x14ac:dyDescent="0.35">
      <c r="A229" s="11"/>
      <c r="B229" s="72" t="s">
        <v>204</v>
      </c>
      <c r="C229" s="72"/>
      <c r="D229" s="12"/>
      <c r="E229" s="86">
        <v>-1453234</v>
      </c>
      <c r="F229" s="86">
        <v>-9297698</v>
      </c>
      <c r="G229" s="86">
        <v>-13448759</v>
      </c>
      <c r="H229" s="86">
        <v>-19208780</v>
      </c>
      <c r="I229" s="86">
        <v>-12454293</v>
      </c>
    </row>
    <row r="230" spans="1:9" ht="14.5" customHeight="1" x14ac:dyDescent="0.35">
      <c r="A230" s="11"/>
      <c r="B230" s="72" t="s">
        <v>205</v>
      </c>
      <c r="C230" s="72"/>
      <c r="D230" s="12"/>
      <c r="E230" s="86">
        <v>11067593</v>
      </c>
      <c r="F230" s="86">
        <v>23471178</v>
      </c>
      <c r="G230" s="86">
        <v>19753988</v>
      </c>
      <c r="H230" s="86">
        <v>19651425</v>
      </c>
      <c r="I230" s="86">
        <v>20992831</v>
      </c>
    </row>
    <row r="231" spans="1:9" ht="14.5" customHeight="1" x14ac:dyDescent="0.35">
      <c r="A231" s="11"/>
      <c r="B231" s="13"/>
      <c r="C231" s="13"/>
      <c r="D231" s="13"/>
      <c r="E231" s="7"/>
      <c r="F231" s="7"/>
      <c r="G231" s="7"/>
      <c r="H231" s="7"/>
      <c r="I231" s="7"/>
    </row>
    <row r="232" spans="1:9" ht="14.5" customHeight="1" x14ac:dyDescent="0.35">
      <c r="A232" s="11"/>
      <c r="B232" s="72" t="s">
        <v>206</v>
      </c>
      <c r="C232" s="72"/>
      <c r="D232" s="12"/>
      <c r="E232" s="86">
        <v>-402396</v>
      </c>
      <c r="F232" s="86">
        <v>-2238692</v>
      </c>
      <c r="G232" s="86">
        <v>-2383338</v>
      </c>
      <c r="H232" s="86">
        <v>-2547516</v>
      </c>
      <c r="I232" s="86">
        <v>-4699998</v>
      </c>
    </row>
    <row r="233" spans="1:9" ht="14.5" customHeight="1" x14ac:dyDescent="0.35">
      <c r="A233" s="11"/>
      <c r="B233" s="72" t="s">
        <v>207</v>
      </c>
      <c r="C233" s="72"/>
      <c r="D233" s="12"/>
      <c r="E233" s="86">
        <v>0</v>
      </c>
      <c r="F233" s="86">
        <v>0</v>
      </c>
      <c r="G233" s="86">
        <v>0</v>
      </c>
      <c r="H233" s="86">
        <v>0</v>
      </c>
      <c r="I233" s="86">
        <v>0</v>
      </c>
    </row>
    <row r="234" spans="1:9" ht="14.5" customHeight="1" x14ac:dyDescent="0.35">
      <c r="A234" s="11"/>
      <c r="B234" s="72" t="s">
        <v>208</v>
      </c>
      <c r="C234" s="72"/>
      <c r="D234" s="12"/>
      <c r="E234" s="87"/>
      <c r="F234" s="87"/>
      <c r="G234" s="87"/>
      <c r="H234" s="87"/>
      <c r="I234" s="87"/>
    </row>
    <row r="235" spans="1:9" ht="14.5" customHeight="1" x14ac:dyDescent="0.35">
      <c r="A235" s="11"/>
      <c r="B235" s="72" t="s">
        <v>209</v>
      </c>
      <c r="C235" s="72"/>
      <c r="D235" s="12"/>
      <c r="E235" s="86">
        <v>0</v>
      </c>
      <c r="F235" s="86">
        <v>0</v>
      </c>
      <c r="G235" s="86">
        <v>0</v>
      </c>
      <c r="H235" s="86">
        <v>0</v>
      </c>
      <c r="I235" s="86">
        <v>0</v>
      </c>
    </row>
    <row r="236" spans="1:9" ht="14.5" customHeight="1" x14ac:dyDescent="0.35">
      <c r="A236" s="11"/>
      <c r="B236" s="72" t="s">
        <v>210</v>
      </c>
      <c r="C236" s="72"/>
      <c r="D236" s="12"/>
      <c r="E236" s="86">
        <v>0</v>
      </c>
      <c r="F236" s="86">
        <v>0</v>
      </c>
      <c r="G236" s="86">
        <v>0</v>
      </c>
      <c r="H236" s="86">
        <v>0</v>
      </c>
      <c r="I236" s="86">
        <v>0</v>
      </c>
    </row>
    <row r="237" spans="1:9" ht="14.5" customHeight="1" x14ac:dyDescent="0.35">
      <c r="A237" s="11"/>
      <c r="B237" s="72" t="s">
        <v>211</v>
      </c>
      <c r="C237" s="72"/>
      <c r="D237" s="12"/>
      <c r="E237" s="86">
        <v>34</v>
      </c>
      <c r="F237" s="86">
        <v>104</v>
      </c>
      <c r="G237" s="86">
        <v>0</v>
      </c>
      <c r="H237" s="86">
        <v>91</v>
      </c>
      <c r="I237" s="86">
        <v>1108</v>
      </c>
    </row>
    <row r="238" spans="1:9" ht="14.5" customHeight="1" x14ac:dyDescent="0.35">
      <c r="A238" s="11"/>
      <c r="B238" s="72" t="s">
        <v>212</v>
      </c>
      <c r="C238" s="72"/>
      <c r="D238" s="12"/>
      <c r="E238" s="86">
        <v>0</v>
      </c>
      <c r="F238" s="86">
        <v>0</v>
      </c>
      <c r="G238" s="86">
        <v>0</v>
      </c>
      <c r="H238" s="86">
        <v>0</v>
      </c>
      <c r="I238" s="86">
        <v>0</v>
      </c>
    </row>
    <row r="239" spans="1:9" ht="14.5" customHeight="1" x14ac:dyDescent="0.35">
      <c r="A239" s="11"/>
      <c r="B239" s="72" t="s">
        <v>213</v>
      </c>
      <c r="C239" s="72"/>
      <c r="D239" s="12"/>
      <c r="E239" s="87"/>
      <c r="F239" s="87"/>
      <c r="G239" s="87"/>
      <c r="H239" s="87"/>
      <c r="I239" s="87"/>
    </row>
    <row r="240" spans="1:9" ht="14.5" customHeight="1" x14ac:dyDescent="0.35">
      <c r="A240" s="11"/>
      <c r="B240" s="72" t="s">
        <v>214</v>
      </c>
      <c r="C240" s="72"/>
      <c r="D240" s="12"/>
      <c r="E240" s="86">
        <v>0</v>
      </c>
      <c r="F240" s="86">
        <v>0</v>
      </c>
      <c r="G240" s="86">
        <v>0</v>
      </c>
      <c r="H240" s="86">
        <v>0</v>
      </c>
      <c r="I240" s="86">
        <v>0</v>
      </c>
    </row>
    <row r="241" spans="1:9" ht="14.5" customHeight="1" x14ac:dyDescent="0.35">
      <c r="A241" s="11"/>
      <c r="B241" s="72" t="s">
        <v>215</v>
      </c>
      <c r="C241" s="72"/>
      <c r="D241" s="12"/>
      <c r="E241" s="86">
        <v>0</v>
      </c>
      <c r="F241" s="86">
        <v>0</v>
      </c>
      <c r="G241" s="86">
        <v>0</v>
      </c>
      <c r="H241" s="86">
        <v>0</v>
      </c>
      <c r="I241" s="86">
        <v>0</v>
      </c>
    </row>
    <row r="242" spans="1:9" ht="14.5" customHeight="1" x14ac:dyDescent="0.35">
      <c r="A242" s="11"/>
      <c r="B242" s="72" t="s">
        <v>216</v>
      </c>
      <c r="C242" s="72"/>
      <c r="D242" s="12"/>
      <c r="E242" s="86">
        <v>0</v>
      </c>
      <c r="F242" s="86">
        <v>0</v>
      </c>
      <c r="G242" s="86">
        <v>0</v>
      </c>
      <c r="H242" s="86">
        <v>0</v>
      </c>
      <c r="I242" s="86">
        <v>0</v>
      </c>
    </row>
    <row r="243" spans="1:9" ht="14.5" customHeight="1" x14ac:dyDescent="0.35">
      <c r="A243" s="11"/>
      <c r="B243" s="72" t="s">
        <v>217</v>
      </c>
      <c r="C243" s="72"/>
      <c r="D243" s="12"/>
      <c r="E243" s="86">
        <v>0</v>
      </c>
      <c r="F243" s="86">
        <v>0</v>
      </c>
      <c r="G243" s="86">
        <v>0</v>
      </c>
      <c r="H243" s="86">
        <v>0</v>
      </c>
      <c r="I243" s="86">
        <v>0</v>
      </c>
    </row>
    <row r="244" spans="1:9" ht="14.5" customHeight="1" x14ac:dyDescent="0.35">
      <c r="A244" s="11"/>
      <c r="B244" s="72" t="s">
        <v>218</v>
      </c>
      <c r="C244" s="72"/>
      <c r="D244" s="12"/>
      <c r="E244" s="86">
        <v>34</v>
      </c>
      <c r="F244" s="86">
        <v>104</v>
      </c>
      <c r="G244" s="86">
        <v>0</v>
      </c>
      <c r="H244" s="86">
        <v>91</v>
      </c>
      <c r="I244" s="86">
        <v>1108</v>
      </c>
    </row>
    <row r="245" spans="1:9" ht="14.5" customHeight="1" x14ac:dyDescent="0.35">
      <c r="A245" s="11"/>
      <c r="B245" s="72" t="s">
        <v>213</v>
      </c>
      <c r="C245" s="72"/>
      <c r="D245" s="12"/>
      <c r="E245" s="87"/>
      <c r="F245" s="87"/>
      <c r="G245" s="87"/>
      <c r="H245" s="86">
        <v>0</v>
      </c>
      <c r="I245" s="86">
        <v>0</v>
      </c>
    </row>
    <row r="246" spans="1:9" ht="14.5" customHeight="1" x14ac:dyDescent="0.35">
      <c r="A246" s="11"/>
      <c r="B246" s="72" t="s">
        <v>214</v>
      </c>
      <c r="C246" s="72"/>
      <c r="D246" s="12"/>
      <c r="E246" s="86">
        <v>0</v>
      </c>
      <c r="F246" s="86">
        <v>0</v>
      </c>
      <c r="G246" s="86">
        <v>0</v>
      </c>
      <c r="H246" s="86">
        <v>0</v>
      </c>
      <c r="I246" s="86">
        <v>0</v>
      </c>
    </row>
    <row r="247" spans="1:9" ht="14.5" customHeight="1" x14ac:dyDescent="0.35">
      <c r="A247" s="11"/>
      <c r="B247" s="72" t="s">
        <v>219</v>
      </c>
      <c r="C247" s="72"/>
      <c r="D247" s="12"/>
      <c r="E247" s="86">
        <v>414250</v>
      </c>
      <c r="F247" s="86">
        <v>2240983</v>
      </c>
      <c r="G247" s="86">
        <v>2314068</v>
      </c>
      <c r="H247" s="86">
        <v>2532021</v>
      </c>
      <c r="I247" s="97">
        <v>4693793</v>
      </c>
    </row>
    <row r="248" spans="1:9" ht="14.5" customHeight="1" x14ac:dyDescent="0.35">
      <c r="A248" s="11"/>
      <c r="B248" s="72" t="s">
        <v>220</v>
      </c>
      <c r="C248" s="72"/>
      <c r="D248" s="12"/>
      <c r="E248" s="87"/>
      <c r="F248" s="87"/>
      <c r="G248" s="87"/>
      <c r="H248" s="86">
        <v>0</v>
      </c>
      <c r="I248" s="86">
        <v>0</v>
      </c>
    </row>
    <row r="249" spans="1:9" ht="14.5" customHeight="1" x14ac:dyDescent="0.35">
      <c r="A249" s="11"/>
      <c r="B249" s="72" t="s">
        <v>210</v>
      </c>
      <c r="C249" s="72"/>
      <c r="D249" s="12"/>
      <c r="E249" s="86">
        <v>0</v>
      </c>
      <c r="F249" s="86">
        <v>0</v>
      </c>
      <c r="G249" s="86">
        <v>0</v>
      </c>
      <c r="H249" s="86">
        <v>0</v>
      </c>
      <c r="I249" s="86">
        <v>0</v>
      </c>
    </row>
    <row r="250" spans="1:9" ht="14.5" customHeight="1" x14ac:dyDescent="0.35">
      <c r="A250" s="11"/>
      <c r="B250" s="72" t="s">
        <v>221</v>
      </c>
      <c r="C250" s="72"/>
      <c r="D250" s="12"/>
      <c r="E250" s="86">
        <v>11820</v>
      </c>
      <c r="F250" s="86">
        <v>2187</v>
      </c>
      <c r="G250" s="86">
        <v>-69270</v>
      </c>
      <c r="H250" s="86">
        <v>-15586</v>
      </c>
      <c r="I250" s="86">
        <v>-7313</v>
      </c>
    </row>
    <row r="251" spans="1:9" ht="14.5" customHeight="1" x14ac:dyDescent="0.35">
      <c r="A251" s="11"/>
      <c r="B251" s="13"/>
      <c r="C251" s="13"/>
      <c r="D251" s="13"/>
      <c r="E251" s="7"/>
      <c r="F251" s="7"/>
      <c r="G251" s="7"/>
      <c r="H251" s="7"/>
      <c r="I251" s="7"/>
    </row>
    <row r="252" spans="1:9" ht="14.5" customHeight="1" x14ac:dyDescent="0.35">
      <c r="A252" s="11"/>
      <c r="B252" s="72" t="s">
        <v>222</v>
      </c>
      <c r="C252" s="72"/>
      <c r="D252" s="12"/>
      <c r="E252" s="86">
        <v>0</v>
      </c>
      <c r="F252" s="86">
        <v>-34195</v>
      </c>
      <c r="G252" s="86">
        <v>-90351</v>
      </c>
      <c r="H252" s="86">
        <v>96713</v>
      </c>
      <c r="I252" s="86">
        <v>520282</v>
      </c>
    </row>
    <row r="253" spans="1:9" ht="14.5" customHeight="1" x14ac:dyDescent="0.35">
      <c r="A253" s="11"/>
      <c r="B253" s="72" t="s">
        <v>223</v>
      </c>
      <c r="C253" s="72"/>
      <c r="D253" s="12"/>
      <c r="E253" s="86">
        <v>0</v>
      </c>
      <c r="F253" s="86">
        <v>0</v>
      </c>
      <c r="G253" s="86">
        <v>0</v>
      </c>
      <c r="H253" s="86">
        <v>96713</v>
      </c>
      <c r="I253" s="86">
        <v>520282</v>
      </c>
    </row>
    <row r="254" spans="1:9" ht="14.5" customHeight="1" x14ac:dyDescent="0.35">
      <c r="A254" s="11"/>
      <c r="B254" s="72" t="s">
        <v>224</v>
      </c>
      <c r="C254" s="72"/>
      <c r="D254" s="12"/>
      <c r="E254" s="86">
        <v>0</v>
      </c>
      <c r="F254" s="86">
        <v>0</v>
      </c>
      <c r="G254" s="86">
        <v>0</v>
      </c>
      <c r="H254" s="86">
        <v>0</v>
      </c>
      <c r="I254" s="86">
        <v>0</v>
      </c>
    </row>
    <row r="255" spans="1:9" ht="14.5" customHeight="1" x14ac:dyDescent="0.35">
      <c r="A255" s="11"/>
      <c r="B255" s="72" t="s">
        <v>225</v>
      </c>
      <c r="C255" s="72"/>
      <c r="D255" s="12"/>
      <c r="E255" s="86">
        <v>0</v>
      </c>
      <c r="F255" s="86">
        <v>0</v>
      </c>
      <c r="G255" s="86">
        <v>0</v>
      </c>
      <c r="H255" s="86">
        <v>0</v>
      </c>
      <c r="I255" s="86">
        <v>0</v>
      </c>
    </row>
    <row r="256" spans="1:9" ht="14.5" customHeight="1" x14ac:dyDescent="0.35">
      <c r="A256" s="11"/>
      <c r="B256" s="72" t="s">
        <v>226</v>
      </c>
      <c r="C256" s="72"/>
      <c r="D256" s="12"/>
      <c r="E256" s="86">
        <v>0</v>
      </c>
      <c r="F256" s="86">
        <v>0</v>
      </c>
      <c r="G256" s="86">
        <v>0</v>
      </c>
      <c r="H256" s="86">
        <v>0</v>
      </c>
      <c r="I256" s="86">
        <v>0</v>
      </c>
    </row>
    <row r="257" spans="1:9" ht="14.5" customHeight="1" x14ac:dyDescent="0.35">
      <c r="A257" s="11"/>
      <c r="B257" s="72" t="s">
        <v>227</v>
      </c>
      <c r="C257" s="72"/>
      <c r="D257" s="12"/>
      <c r="E257" s="86">
        <v>0</v>
      </c>
      <c r="F257" s="86">
        <v>0</v>
      </c>
      <c r="G257" s="86">
        <v>0</v>
      </c>
      <c r="H257" s="86">
        <v>96713</v>
      </c>
      <c r="I257" s="86">
        <v>520282</v>
      </c>
    </row>
    <row r="258" spans="1:9" ht="14.5" customHeight="1" x14ac:dyDescent="0.35">
      <c r="A258" s="11"/>
      <c r="B258" s="72" t="s">
        <v>228</v>
      </c>
      <c r="C258" s="72"/>
      <c r="D258" s="12"/>
      <c r="E258" s="86">
        <v>0</v>
      </c>
      <c r="F258" s="86">
        <v>0</v>
      </c>
      <c r="G258" s="86">
        <v>0</v>
      </c>
      <c r="H258" s="86">
        <v>0</v>
      </c>
      <c r="I258" s="86">
        <v>0</v>
      </c>
    </row>
    <row r="259" spans="1:9" ht="14.5" customHeight="1" x14ac:dyDescent="0.35">
      <c r="A259" s="11"/>
      <c r="B259" s="72" t="s">
        <v>229</v>
      </c>
      <c r="C259" s="72"/>
      <c r="D259" s="12"/>
      <c r="E259" s="86">
        <v>0</v>
      </c>
      <c r="F259" s="86">
        <v>34195</v>
      </c>
      <c r="G259" s="86">
        <v>90351</v>
      </c>
      <c r="H259" s="86">
        <v>0</v>
      </c>
      <c r="I259" s="86">
        <v>0</v>
      </c>
    </row>
    <row r="260" spans="1:9" ht="14.5" customHeight="1" x14ac:dyDescent="0.35">
      <c r="A260" s="11"/>
      <c r="B260" s="72" t="s">
        <v>230</v>
      </c>
      <c r="C260" s="72"/>
      <c r="D260" s="12"/>
      <c r="E260" s="86">
        <v>0</v>
      </c>
      <c r="F260" s="86">
        <v>0</v>
      </c>
      <c r="G260" s="86">
        <v>0</v>
      </c>
      <c r="H260" s="86">
        <v>0</v>
      </c>
      <c r="I260" s="86">
        <v>0</v>
      </c>
    </row>
    <row r="261" spans="1:9" ht="14.5" customHeight="1" x14ac:dyDescent="0.35">
      <c r="A261" s="11"/>
      <c r="B261" s="72" t="s">
        <v>231</v>
      </c>
      <c r="C261" s="72"/>
      <c r="D261" s="12"/>
      <c r="E261" s="86">
        <v>0</v>
      </c>
      <c r="F261" s="86">
        <v>0</v>
      </c>
      <c r="G261" s="86">
        <v>0</v>
      </c>
      <c r="H261" s="86">
        <v>0</v>
      </c>
      <c r="I261" s="86">
        <v>0</v>
      </c>
    </row>
    <row r="262" spans="1:9" ht="14.5" customHeight="1" x14ac:dyDescent="0.35">
      <c r="A262" s="11"/>
      <c r="B262" s="72" t="s">
        <v>232</v>
      </c>
      <c r="C262" s="72"/>
      <c r="D262" s="12"/>
      <c r="E262" s="86">
        <v>0</v>
      </c>
      <c r="F262" s="86">
        <v>0</v>
      </c>
      <c r="G262" s="86">
        <v>0</v>
      </c>
      <c r="H262" s="86">
        <v>0</v>
      </c>
      <c r="I262" s="86">
        <v>0</v>
      </c>
    </row>
    <row r="263" spans="1:9" ht="14.5" customHeight="1" x14ac:dyDescent="0.35">
      <c r="A263" s="11"/>
      <c r="B263" s="72" t="s">
        <v>233</v>
      </c>
      <c r="C263" s="72"/>
      <c r="D263" s="12"/>
      <c r="E263" s="86">
        <v>0</v>
      </c>
      <c r="F263" s="86">
        <v>34195</v>
      </c>
      <c r="G263" s="86">
        <v>90351</v>
      </c>
      <c r="H263" s="86">
        <v>0</v>
      </c>
      <c r="I263" s="86">
        <v>0</v>
      </c>
    </row>
    <row r="264" spans="1:9" ht="14.5" customHeight="1" x14ac:dyDescent="0.35">
      <c r="A264" s="11"/>
      <c r="B264" s="72" t="s">
        <v>234</v>
      </c>
      <c r="C264" s="72"/>
      <c r="D264" s="12"/>
      <c r="E264" s="86">
        <v>0</v>
      </c>
      <c r="F264" s="86">
        <v>0</v>
      </c>
      <c r="G264" s="86">
        <v>0</v>
      </c>
      <c r="H264" s="86">
        <v>0</v>
      </c>
      <c r="I264" s="86">
        <v>0</v>
      </c>
    </row>
    <row r="265" spans="1:9" ht="14.5" customHeight="1" x14ac:dyDescent="0.35">
      <c r="A265" s="11"/>
      <c r="B265" s="13"/>
      <c r="C265" s="13"/>
      <c r="D265" s="13"/>
      <c r="E265" s="7"/>
      <c r="F265" s="7"/>
      <c r="G265" s="7"/>
      <c r="H265" s="7"/>
      <c r="I265" s="7"/>
    </row>
    <row r="266" spans="1:9" ht="14.5" customHeight="1" x14ac:dyDescent="0.35">
      <c r="A266" s="11"/>
      <c r="B266" s="72" t="s">
        <v>235</v>
      </c>
      <c r="C266" s="72"/>
      <c r="D266" s="12"/>
      <c r="E266" s="86">
        <v>0</v>
      </c>
      <c r="F266" s="86">
        <v>0</v>
      </c>
      <c r="G266" s="86">
        <v>0</v>
      </c>
      <c r="H266" s="86">
        <v>0</v>
      </c>
      <c r="I266" s="86">
        <v>0</v>
      </c>
    </row>
    <row r="267" spans="1:9" ht="14.5" customHeight="1" x14ac:dyDescent="0.35">
      <c r="A267" s="11"/>
      <c r="B267" s="72" t="s">
        <v>236</v>
      </c>
      <c r="C267" s="72"/>
      <c r="D267" s="12"/>
      <c r="E267" s="86">
        <v>0</v>
      </c>
      <c r="F267" s="86">
        <v>0</v>
      </c>
      <c r="G267" s="86">
        <v>0</v>
      </c>
      <c r="H267" s="86">
        <v>0</v>
      </c>
      <c r="I267" s="86">
        <v>0</v>
      </c>
    </row>
    <row r="268" spans="1:9" ht="14.5" customHeight="1" x14ac:dyDescent="0.35">
      <c r="A268" s="11"/>
      <c r="B268" s="72" t="s">
        <v>237</v>
      </c>
      <c r="C268" s="72"/>
      <c r="D268" s="12"/>
      <c r="E268" s="86">
        <v>0</v>
      </c>
      <c r="F268" s="86">
        <v>0</v>
      </c>
      <c r="G268" s="86">
        <v>0</v>
      </c>
      <c r="H268" s="86">
        <v>0</v>
      </c>
      <c r="I268" s="86">
        <v>0</v>
      </c>
    </row>
    <row r="269" spans="1:9" ht="14.5" customHeight="1" x14ac:dyDescent="0.35">
      <c r="A269" s="11"/>
      <c r="B269" s="72" t="s">
        <v>238</v>
      </c>
      <c r="C269" s="72"/>
      <c r="D269" s="12"/>
      <c r="E269" s="86">
        <v>0</v>
      </c>
      <c r="F269" s="86">
        <v>0</v>
      </c>
      <c r="G269" s="86">
        <v>0</v>
      </c>
      <c r="H269" s="86">
        <v>0</v>
      </c>
      <c r="I269" s="86">
        <v>0</v>
      </c>
    </row>
    <row r="270" spans="1:9" ht="14.5" customHeight="1" x14ac:dyDescent="0.35">
      <c r="A270" s="11"/>
      <c r="B270" s="72" t="s">
        <v>239</v>
      </c>
      <c r="C270" s="72"/>
      <c r="D270" s="12"/>
      <c r="E270" s="86">
        <v>0</v>
      </c>
      <c r="F270" s="86">
        <v>0</v>
      </c>
      <c r="G270" s="86">
        <v>0</v>
      </c>
      <c r="H270" s="86">
        <v>0</v>
      </c>
      <c r="I270" s="86">
        <v>0</v>
      </c>
    </row>
    <row r="271" spans="1:9" ht="14.5" customHeight="1" x14ac:dyDescent="0.35">
      <c r="A271" s="11"/>
      <c r="B271" s="72" t="s">
        <v>240</v>
      </c>
      <c r="C271" s="72"/>
      <c r="D271" s="12"/>
      <c r="E271" s="86">
        <v>0</v>
      </c>
      <c r="F271" s="86">
        <v>0</v>
      </c>
      <c r="G271" s="86">
        <v>0</v>
      </c>
      <c r="H271" s="86">
        <v>0</v>
      </c>
      <c r="I271" s="86">
        <v>0</v>
      </c>
    </row>
    <row r="272" spans="1:9" ht="14.5" customHeight="1" x14ac:dyDescent="0.35">
      <c r="A272" s="11"/>
      <c r="B272" s="13"/>
      <c r="C272" s="13"/>
      <c r="D272" s="13"/>
      <c r="E272" s="7"/>
      <c r="F272" s="7"/>
      <c r="G272" s="7"/>
      <c r="H272" s="7"/>
      <c r="I272" s="7"/>
    </row>
    <row r="273" spans="1:9" ht="14.5" customHeight="1" x14ac:dyDescent="0.35">
      <c r="A273" s="11"/>
      <c r="B273" s="72" t="s">
        <v>241</v>
      </c>
      <c r="C273" s="72"/>
      <c r="D273" s="12"/>
      <c r="E273" s="86">
        <v>-1855630</v>
      </c>
      <c r="F273" s="86">
        <v>-11570585</v>
      </c>
      <c r="G273" s="86">
        <v>-15922448</v>
      </c>
      <c r="H273" s="86">
        <v>-21659583</v>
      </c>
      <c r="I273" s="86">
        <v>-16634009</v>
      </c>
    </row>
    <row r="274" spans="1:9" ht="14.5" customHeight="1" x14ac:dyDescent="0.35">
      <c r="A274" s="11"/>
      <c r="B274" s="72" t="s">
        <v>242</v>
      </c>
      <c r="C274" s="72"/>
      <c r="D274" s="12"/>
      <c r="E274" s="86">
        <v>731706</v>
      </c>
      <c r="F274" s="86">
        <v>-1037284</v>
      </c>
      <c r="G274" s="86">
        <v>-2265969</v>
      </c>
      <c r="H274" s="86">
        <v>46422</v>
      </c>
      <c r="I274" s="86">
        <v>15533</v>
      </c>
    </row>
    <row r="275" spans="1:9" ht="14.5" customHeight="1" x14ac:dyDescent="0.35">
      <c r="A275" s="11"/>
      <c r="B275" s="72" t="s">
        <v>243</v>
      </c>
      <c r="C275" s="72"/>
      <c r="D275" s="12"/>
      <c r="E275" s="86">
        <v>805869</v>
      </c>
      <c r="F275" s="86">
        <v>118836</v>
      </c>
      <c r="G275" s="86">
        <v>0</v>
      </c>
      <c r="H275" s="86">
        <v>0</v>
      </c>
      <c r="I275" s="86">
        <v>0</v>
      </c>
    </row>
    <row r="276" spans="1:9" ht="14.5" customHeight="1" x14ac:dyDescent="0.35">
      <c r="A276" s="11"/>
      <c r="B276" s="72" t="s">
        <v>244</v>
      </c>
      <c r="C276" s="72"/>
      <c r="D276" s="12"/>
      <c r="E276" s="86">
        <v>0</v>
      </c>
      <c r="F276" s="86">
        <v>-110522</v>
      </c>
      <c r="G276" s="86">
        <v>538</v>
      </c>
      <c r="H276" s="86">
        <v>0</v>
      </c>
      <c r="I276" s="86">
        <v>0</v>
      </c>
    </row>
    <row r="277" spans="1:9" ht="14.5" customHeight="1" x14ac:dyDescent="0.35">
      <c r="A277" s="11"/>
      <c r="B277" s="72" t="s">
        <v>245</v>
      </c>
      <c r="C277" s="72"/>
      <c r="D277" s="12"/>
      <c r="E277" s="86">
        <v>-74163</v>
      </c>
      <c r="F277" s="86">
        <v>-1045598</v>
      </c>
      <c r="G277" s="86">
        <v>-2266507</v>
      </c>
      <c r="H277" s="86">
        <v>46422</v>
      </c>
      <c r="I277" s="86">
        <v>15533</v>
      </c>
    </row>
    <row r="278" spans="1:9" ht="14.5" customHeight="1" x14ac:dyDescent="0.35">
      <c r="A278" s="11"/>
      <c r="B278" s="72" t="s">
        <v>246</v>
      </c>
      <c r="C278" s="72"/>
      <c r="D278" s="12"/>
      <c r="E278" s="87"/>
      <c r="F278" s="87"/>
      <c r="G278" s="87"/>
      <c r="H278" s="87"/>
      <c r="I278" s="87"/>
    </row>
    <row r="279" spans="1:9" ht="14.5" customHeight="1" x14ac:dyDescent="0.35">
      <c r="A279" s="11"/>
      <c r="B279" s="72" t="s">
        <v>247</v>
      </c>
      <c r="C279" s="72"/>
      <c r="D279" s="12"/>
      <c r="E279" s="87"/>
      <c r="F279" s="87"/>
      <c r="G279" s="87"/>
      <c r="H279" s="87"/>
      <c r="I279" s="87"/>
    </row>
    <row r="280" spans="1:9" ht="14.5" customHeight="1" x14ac:dyDescent="0.35">
      <c r="A280" s="11"/>
      <c r="B280" s="72" t="s">
        <v>248</v>
      </c>
      <c r="C280" s="72"/>
      <c r="D280" s="12"/>
      <c r="E280" s="86">
        <v>0</v>
      </c>
      <c r="F280" s="86">
        <v>0</v>
      </c>
      <c r="G280" s="86">
        <v>0</v>
      </c>
      <c r="H280" s="86">
        <v>0</v>
      </c>
      <c r="I280" s="86">
        <v>0</v>
      </c>
    </row>
    <row r="281" spans="1:9" ht="14.5" customHeight="1" x14ac:dyDescent="0.35">
      <c r="A281" s="11"/>
      <c r="B281" s="13"/>
      <c r="C281" s="13"/>
      <c r="D281" s="13"/>
      <c r="E281" s="7"/>
      <c r="F281" s="7"/>
      <c r="G281" s="7"/>
      <c r="H281" s="7"/>
      <c r="I281" s="7"/>
    </row>
    <row r="282" spans="1:9" ht="14.5" customHeight="1" x14ac:dyDescent="0.35">
      <c r="A282" s="11"/>
      <c r="B282" s="72" t="s">
        <v>249</v>
      </c>
      <c r="C282" s="72"/>
      <c r="D282" s="12"/>
      <c r="E282" s="86">
        <v>-2587336</v>
      </c>
      <c r="F282" s="86">
        <v>-10533301</v>
      </c>
      <c r="G282" s="86">
        <v>-13656479</v>
      </c>
      <c r="H282" s="86">
        <v>-21706005</v>
      </c>
      <c r="I282" s="86">
        <v>-16649542</v>
      </c>
    </row>
    <row r="283" spans="1:9" ht="14.5" customHeight="1" x14ac:dyDescent="0.35">
      <c r="A283" s="11"/>
      <c r="B283" s="72" t="s">
        <v>250</v>
      </c>
      <c r="C283" s="72"/>
      <c r="D283" s="12"/>
      <c r="E283" s="87"/>
      <c r="F283" s="87"/>
      <c r="G283" s="87"/>
      <c r="H283" s="87"/>
      <c r="I283" s="87"/>
    </row>
    <row r="284" spans="1:9" ht="14.5" customHeight="1" x14ac:dyDescent="0.35">
      <c r="A284" s="11"/>
      <c r="B284" s="72" t="s">
        <v>251</v>
      </c>
      <c r="C284" s="72"/>
      <c r="D284" s="12"/>
      <c r="E284" s="86">
        <v>-2587336</v>
      </c>
      <c r="F284" s="86">
        <v>-10533301</v>
      </c>
      <c r="G284" s="86">
        <v>-13656479</v>
      </c>
      <c r="H284" s="86">
        <v>-21706005</v>
      </c>
      <c r="I284" s="86">
        <v>-16649542</v>
      </c>
    </row>
    <row r="285" spans="1:9" ht="14.5" customHeight="1" x14ac:dyDescent="0.35">
      <c r="A285" s="11"/>
      <c r="B285" s="13"/>
      <c r="C285" s="13"/>
      <c r="D285" s="13"/>
      <c r="E285" s="7"/>
      <c r="F285" s="7"/>
      <c r="G285" s="7"/>
      <c r="H285" s="7"/>
      <c r="I285" s="7"/>
    </row>
    <row r="286" spans="1:9" ht="14.5" customHeight="1" x14ac:dyDescent="0.35">
      <c r="A286" s="11"/>
      <c r="B286" s="72" t="s">
        <v>252</v>
      </c>
      <c r="C286" s="72"/>
      <c r="D286" s="12"/>
      <c r="E286" s="92">
        <v>310</v>
      </c>
      <c r="F286" s="92">
        <v>324</v>
      </c>
      <c r="G286" s="92">
        <v>325</v>
      </c>
      <c r="H286" s="92">
        <v>355</v>
      </c>
      <c r="I286" s="92">
        <v>340</v>
      </c>
    </row>
    <row r="287" spans="1:9" ht="14.5" customHeight="1" x14ac:dyDescent="0.35">
      <c r="A287" s="11"/>
      <c r="B287" s="13"/>
      <c r="C287" s="13"/>
      <c r="D287" s="13"/>
      <c r="E287" s="7"/>
      <c r="F287" s="7"/>
      <c r="G287" s="7"/>
      <c r="H287" s="7"/>
      <c r="I287" s="7"/>
    </row>
    <row r="288" spans="1:9" ht="14.5" customHeight="1" x14ac:dyDescent="0.35">
      <c r="A288" s="2"/>
      <c r="E288" s="90"/>
      <c r="F288" s="90"/>
      <c r="G288" s="90"/>
      <c r="H288" s="90"/>
      <c r="I288" s="90"/>
    </row>
    <row r="289" spans="1:9" ht="14.5" customHeight="1" x14ac:dyDescent="0.35">
      <c r="A289" s="18" t="s">
        <v>253</v>
      </c>
      <c r="B289" s="68"/>
      <c r="E289" s="90"/>
      <c r="F289" s="90"/>
      <c r="G289" s="90"/>
      <c r="H289" s="90"/>
      <c r="I289" s="90"/>
    </row>
    <row r="290" spans="1:9" ht="14.5" customHeight="1" x14ac:dyDescent="0.35">
      <c r="A290" s="2"/>
      <c r="E290" s="90"/>
      <c r="F290" s="90"/>
      <c r="G290" s="90"/>
      <c r="H290" s="90"/>
      <c r="I290" s="90"/>
    </row>
    <row r="291" spans="1:9" ht="34" customHeight="1" x14ac:dyDescent="0.35">
      <c r="A291" s="3"/>
      <c r="B291" s="76" t="s">
        <v>1</v>
      </c>
      <c r="C291" s="76"/>
      <c r="D291" s="4"/>
      <c r="E291" s="91" t="s">
        <v>6</v>
      </c>
      <c r="F291" s="91" t="s">
        <v>5</v>
      </c>
      <c r="G291" s="91" t="s">
        <v>4</v>
      </c>
      <c r="H291" s="91" t="s">
        <v>3</v>
      </c>
      <c r="I291" s="91" t="s">
        <v>2</v>
      </c>
    </row>
    <row r="292" spans="1:9" ht="34" customHeight="1" x14ac:dyDescent="0.35">
      <c r="A292" s="6"/>
      <c r="B292" s="7"/>
      <c r="C292" s="7"/>
      <c r="D292" s="7"/>
      <c r="E292" s="87" t="s">
        <v>392</v>
      </c>
      <c r="F292" s="87" t="s">
        <v>7</v>
      </c>
      <c r="G292" s="87" t="s">
        <v>7</v>
      </c>
      <c r="H292" s="87" t="s">
        <v>7</v>
      </c>
      <c r="I292" s="87" t="s">
        <v>7</v>
      </c>
    </row>
    <row r="293" spans="1:9" ht="14.5" customHeight="1" x14ac:dyDescent="0.35">
      <c r="A293" s="8"/>
      <c r="B293" s="70" t="s">
        <v>254</v>
      </c>
      <c r="C293" s="70"/>
      <c r="D293" s="9"/>
      <c r="E293" s="10"/>
      <c r="F293" s="10"/>
      <c r="G293" s="10"/>
      <c r="H293" s="10"/>
      <c r="I293" s="10"/>
    </row>
    <row r="294" spans="1:9" ht="14.5" customHeight="1" x14ac:dyDescent="0.35">
      <c r="A294" s="11"/>
      <c r="B294" s="13"/>
      <c r="C294" s="13"/>
      <c r="D294" s="13"/>
      <c r="E294" s="7"/>
      <c r="F294" s="7"/>
      <c r="G294" s="7"/>
      <c r="H294" s="7"/>
      <c r="I294" s="7"/>
    </row>
    <row r="295" spans="1:9" ht="14.5" customHeight="1" x14ac:dyDescent="0.35">
      <c r="A295" s="11"/>
      <c r="B295" s="72" t="s">
        <v>255</v>
      </c>
      <c r="C295" s="72"/>
      <c r="D295" s="12"/>
      <c r="E295" s="93">
        <v>0.41</v>
      </c>
      <c r="F295" s="93">
        <v>0.72</v>
      </c>
      <c r="G295" s="93">
        <v>0.86</v>
      </c>
      <c r="H295" s="93">
        <v>0.56999999999999995</v>
      </c>
      <c r="I295" s="93">
        <v>0.8</v>
      </c>
    </row>
    <row r="296" spans="1:9" ht="14.5" customHeight="1" x14ac:dyDescent="0.35">
      <c r="A296" s="11"/>
      <c r="B296" s="72" t="s">
        <v>256</v>
      </c>
      <c r="C296" s="72"/>
      <c r="D296" s="12"/>
      <c r="E296" s="93">
        <v>0.64</v>
      </c>
      <c r="F296" s="93">
        <v>1.07</v>
      </c>
      <c r="G296" s="93">
        <v>1.28</v>
      </c>
      <c r="H296" s="93">
        <v>0.97</v>
      </c>
      <c r="I296" s="93">
        <v>1.1599999999999999</v>
      </c>
    </row>
    <row r="297" spans="1:9" ht="14.5" customHeight="1" x14ac:dyDescent="0.35">
      <c r="A297" s="11"/>
      <c r="B297" s="72" t="s">
        <v>257</v>
      </c>
      <c r="C297" s="72"/>
      <c r="D297" s="12"/>
      <c r="E297" s="93">
        <v>1</v>
      </c>
      <c r="F297" s="93">
        <v>0.43</v>
      </c>
      <c r="G297" s="93">
        <v>0.37</v>
      </c>
      <c r="H297" s="93">
        <v>0.45</v>
      </c>
      <c r="I297" s="93">
        <v>0.44</v>
      </c>
    </row>
    <row r="298" spans="1:9" ht="14.5" customHeight="1" x14ac:dyDescent="0.35">
      <c r="A298" s="11"/>
      <c r="B298" s="72" t="s">
        <v>258</v>
      </c>
      <c r="C298" s="72"/>
      <c r="D298" s="12"/>
      <c r="E298" s="93">
        <v>0</v>
      </c>
      <c r="F298" s="93">
        <v>0.56999999999999995</v>
      </c>
      <c r="G298" s="93">
        <v>0.63</v>
      </c>
      <c r="H298" s="93">
        <v>0.55000000000000004</v>
      </c>
      <c r="I298" s="93">
        <v>0.56000000000000005</v>
      </c>
    </row>
    <row r="299" spans="1:9" ht="14.5" customHeight="1" x14ac:dyDescent="0.35">
      <c r="A299" s="11"/>
      <c r="B299" s="72" t="s">
        <v>259</v>
      </c>
      <c r="C299" s="72"/>
      <c r="D299" s="12"/>
      <c r="E299" s="93">
        <v>0.13</v>
      </c>
      <c r="F299" s="93">
        <v>0.21</v>
      </c>
      <c r="G299" s="93">
        <v>0.31</v>
      </c>
      <c r="H299" s="93">
        <v>0.41</v>
      </c>
      <c r="I299" s="93">
        <v>0.45</v>
      </c>
    </row>
    <row r="300" spans="1:9" ht="14.5" customHeight="1" x14ac:dyDescent="0.35">
      <c r="A300" s="11"/>
      <c r="B300" s="72" t="s">
        <v>260</v>
      </c>
      <c r="C300" s="72"/>
      <c r="D300" s="12"/>
      <c r="E300" s="87"/>
      <c r="F300" s="87"/>
      <c r="G300" s="87"/>
      <c r="H300" s="87"/>
      <c r="I300" s="87"/>
    </row>
    <row r="301" spans="1:9" ht="14.5" customHeight="1" x14ac:dyDescent="0.35">
      <c r="A301" s="11"/>
      <c r="B301" s="72" t="s">
        <v>261</v>
      </c>
      <c r="C301" s="72"/>
      <c r="D301" s="12"/>
      <c r="E301" s="93">
        <v>1.37</v>
      </c>
      <c r="F301" s="93">
        <v>1.8</v>
      </c>
      <c r="G301" s="93">
        <v>1.99</v>
      </c>
      <c r="H301" s="93">
        <v>2.52</v>
      </c>
      <c r="I301" s="93">
        <v>2.92</v>
      </c>
    </row>
    <row r="302" spans="1:9" ht="14.5" customHeight="1" x14ac:dyDescent="0.35">
      <c r="A302" s="11"/>
      <c r="B302" s="72" t="s">
        <v>262</v>
      </c>
      <c r="C302" s="72"/>
      <c r="D302" s="12"/>
      <c r="E302" s="93">
        <v>0.88</v>
      </c>
      <c r="F302" s="93">
        <v>1</v>
      </c>
      <c r="G302" s="93">
        <v>1.06</v>
      </c>
      <c r="H302" s="93">
        <v>0.98</v>
      </c>
      <c r="I302" s="93">
        <v>1.06</v>
      </c>
    </row>
    <row r="303" spans="1:9" ht="14.5" customHeight="1" x14ac:dyDescent="0.35">
      <c r="A303" s="11"/>
      <c r="B303" s="72" t="s">
        <v>263</v>
      </c>
      <c r="C303" s="72"/>
      <c r="D303" s="12"/>
      <c r="E303" s="93">
        <v>12.15</v>
      </c>
      <c r="F303" s="93">
        <v>67.5</v>
      </c>
      <c r="G303" s="93">
        <v>92.06</v>
      </c>
      <c r="H303" s="93">
        <v>79.73</v>
      </c>
      <c r="I303" s="93">
        <v>79.05</v>
      </c>
    </row>
    <row r="304" spans="1:9" ht="14.5" customHeight="1" x14ac:dyDescent="0.35">
      <c r="A304" s="11"/>
      <c r="B304" s="72" t="s">
        <v>264</v>
      </c>
      <c r="C304" s="72"/>
      <c r="D304" s="12"/>
      <c r="E304" s="93">
        <v>12.94</v>
      </c>
      <c r="F304" s="93">
        <v>5.41</v>
      </c>
      <c r="G304" s="93">
        <v>4.6500000000000004</v>
      </c>
      <c r="H304" s="93">
        <v>5.19</v>
      </c>
      <c r="I304" s="93">
        <v>8.57</v>
      </c>
    </row>
    <row r="305" spans="1:9" ht="14.5" customHeight="1" x14ac:dyDescent="0.35">
      <c r="A305" s="11"/>
      <c r="B305" s="72" t="s">
        <v>265</v>
      </c>
      <c r="C305" s="72"/>
      <c r="D305" s="12"/>
      <c r="E305" s="93">
        <v>11.36</v>
      </c>
      <c r="F305" s="93">
        <v>2.4</v>
      </c>
      <c r="G305" s="93">
        <v>0.66</v>
      </c>
      <c r="H305" s="93">
        <v>0.28999999999999998</v>
      </c>
      <c r="I305" s="93">
        <v>0.63</v>
      </c>
    </row>
    <row r="306" spans="1:9" ht="14.5" customHeight="1" x14ac:dyDescent="0.35">
      <c r="A306" s="11"/>
      <c r="B306" s="72" t="s">
        <v>266</v>
      </c>
      <c r="C306" s="72"/>
      <c r="D306" s="12"/>
      <c r="E306" s="93">
        <v>1.57</v>
      </c>
      <c r="F306" s="93">
        <v>3.65</v>
      </c>
      <c r="G306" s="93">
        <v>4.28</v>
      </c>
      <c r="H306" s="93">
        <v>4.1399999999999997</v>
      </c>
      <c r="I306" s="93">
        <v>6.77</v>
      </c>
    </row>
    <row r="307" spans="1:9" ht="14.5" customHeight="1" x14ac:dyDescent="0.35">
      <c r="A307" s="11"/>
      <c r="B307" s="72" t="s">
        <v>267</v>
      </c>
      <c r="C307" s="72"/>
      <c r="D307" s="12"/>
      <c r="E307" s="93">
        <v>72.89</v>
      </c>
      <c r="F307" s="93">
        <v>55.53</v>
      </c>
      <c r="G307" s="93">
        <v>50.22</v>
      </c>
      <c r="H307" s="93">
        <v>39.65</v>
      </c>
      <c r="I307" s="93">
        <v>34.24</v>
      </c>
    </row>
    <row r="308" spans="1:9" ht="14.5" customHeight="1" x14ac:dyDescent="0.35">
      <c r="A308" s="11"/>
      <c r="B308" s="72" t="s">
        <v>268</v>
      </c>
      <c r="C308" s="72"/>
      <c r="D308" s="12"/>
      <c r="E308" s="93">
        <v>2.81</v>
      </c>
      <c r="F308" s="93">
        <v>1.3</v>
      </c>
      <c r="G308" s="93">
        <v>1.04</v>
      </c>
      <c r="H308" s="93">
        <v>0.67</v>
      </c>
      <c r="I308" s="93">
        <v>0.53</v>
      </c>
    </row>
    <row r="309" spans="1:9" ht="14.5" customHeight="1" x14ac:dyDescent="0.35">
      <c r="A309" s="11"/>
      <c r="B309" s="72" t="s">
        <v>269</v>
      </c>
      <c r="C309" s="72"/>
      <c r="D309" s="12"/>
      <c r="E309" s="93">
        <v>1970316</v>
      </c>
      <c r="F309" s="93">
        <v>36151572</v>
      </c>
      <c r="G309" s="93">
        <v>43151167</v>
      </c>
      <c r="H309" s="93">
        <v>46039244</v>
      </c>
      <c r="I309" s="93">
        <v>47341297</v>
      </c>
    </row>
    <row r="310" spans="1:9" ht="14.5" customHeight="1" x14ac:dyDescent="0.35">
      <c r="A310" s="11"/>
      <c r="B310" s="72" t="s">
        <v>270</v>
      </c>
      <c r="C310" s="72"/>
      <c r="D310" s="12"/>
      <c r="E310" s="93">
        <v>0.03</v>
      </c>
      <c r="F310" s="93">
        <v>0.54</v>
      </c>
      <c r="G310" s="93">
        <v>0.73</v>
      </c>
      <c r="H310" s="93">
        <v>1.03</v>
      </c>
      <c r="I310" s="93">
        <v>1.4</v>
      </c>
    </row>
    <row r="311" spans="1:9" ht="14.5" customHeight="1" x14ac:dyDescent="0.35">
      <c r="A311" s="11"/>
      <c r="B311" s="72" t="s">
        <v>271</v>
      </c>
      <c r="C311" s="72"/>
      <c r="D311" s="12"/>
      <c r="E311" s="93">
        <v>0.75</v>
      </c>
      <c r="F311" s="93">
        <v>7.71</v>
      </c>
      <c r="G311" s="93">
        <v>33.01</v>
      </c>
      <c r="H311" s="93">
        <v>66.180000000000007</v>
      </c>
      <c r="I311" s="93">
        <v>18.79</v>
      </c>
    </row>
    <row r="312" spans="1:9" ht="14.5" customHeight="1" x14ac:dyDescent="0.35">
      <c r="A312" s="11"/>
      <c r="B312" s="13"/>
      <c r="C312" s="13"/>
      <c r="D312" s="13"/>
      <c r="E312" s="7"/>
      <c r="F312" s="7"/>
      <c r="G312" s="7"/>
      <c r="H312" s="7"/>
      <c r="I312" s="7"/>
    </row>
    <row r="313" spans="1:9" ht="14.5" customHeight="1" x14ac:dyDescent="0.35">
      <c r="A313" s="8"/>
      <c r="B313" s="70" t="s">
        <v>272</v>
      </c>
      <c r="C313" s="70"/>
      <c r="D313" s="9"/>
      <c r="E313" s="10"/>
      <c r="F313" s="10"/>
      <c r="G313" s="10"/>
      <c r="H313" s="10"/>
      <c r="I313" s="10"/>
    </row>
    <row r="314" spans="1:9" ht="14.5" customHeight="1" x14ac:dyDescent="0.35">
      <c r="A314" s="11"/>
      <c r="B314" s="13"/>
      <c r="C314" s="13"/>
      <c r="D314" s="13"/>
      <c r="E314" s="7"/>
      <c r="F314" s="7"/>
      <c r="G314" s="7"/>
      <c r="H314" s="7"/>
      <c r="I314" s="7"/>
    </row>
    <row r="315" spans="1:9" ht="14.5" customHeight="1" x14ac:dyDescent="0.35">
      <c r="A315" s="11"/>
      <c r="B315" s="72" t="s">
        <v>273</v>
      </c>
      <c r="C315" s="72"/>
      <c r="D315" s="12"/>
      <c r="E315" s="93">
        <v>0.17</v>
      </c>
      <c r="F315" s="93">
        <v>0.43</v>
      </c>
      <c r="G315" s="93">
        <v>0.39</v>
      </c>
      <c r="H315" s="93">
        <v>0.49</v>
      </c>
      <c r="I315" s="93">
        <v>0.57999999999999996</v>
      </c>
    </row>
    <row r="316" spans="1:9" ht="14.5" customHeight="1" x14ac:dyDescent="0.35">
      <c r="A316" s="11"/>
      <c r="B316" s="72" t="s">
        <v>274</v>
      </c>
      <c r="C316" s="72"/>
      <c r="D316" s="12"/>
      <c r="E316" s="93">
        <v>1.04</v>
      </c>
      <c r="F316" s="93">
        <v>2.17</v>
      </c>
      <c r="G316" s="93">
        <v>1.69</v>
      </c>
      <c r="H316" s="93">
        <v>1.91</v>
      </c>
      <c r="I316" s="93">
        <v>1.74</v>
      </c>
    </row>
    <row r="317" spans="1:9" ht="14.5" customHeight="1" x14ac:dyDescent="0.35">
      <c r="A317" s="11"/>
      <c r="B317" s="72" t="s">
        <v>275</v>
      </c>
      <c r="C317" s="72"/>
      <c r="D317" s="12"/>
      <c r="E317" s="93">
        <v>28.52</v>
      </c>
      <c r="F317" s="93">
        <v>6.01</v>
      </c>
      <c r="G317" s="93">
        <v>12.74</v>
      </c>
      <c r="H317" s="93">
        <v>5.43</v>
      </c>
      <c r="I317" s="93">
        <v>8.68</v>
      </c>
    </row>
    <row r="318" spans="1:9" ht="14.5" customHeight="1" x14ac:dyDescent="0.35">
      <c r="A318" s="11"/>
      <c r="B318" s="72" t="s">
        <v>276</v>
      </c>
      <c r="C318" s="72"/>
      <c r="D318" s="12"/>
      <c r="E318" s="93">
        <v>123.57</v>
      </c>
      <c r="F318" s="93">
        <v>53.5</v>
      </c>
      <c r="G318" s="93">
        <v>71.02</v>
      </c>
      <c r="H318" s="93">
        <v>76.64</v>
      </c>
      <c r="I318" s="93">
        <v>62.9</v>
      </c>
    </row>
    <row r="319" spans="1:9" ht="14.5" customHeight="1" x14ac:dyDescent="0.35">
      <c r="A319" s="11"/>
      <c r="B319" s="72" t="s">
        <v>277</v>
      </c>
      <c r="C319" s="72"/>
      <c r="D319" s="12"/>
      <c r="E319" s="87"/>
      <c r="F319" s="93">
        <v>199.57</v>
      </c>
      <c r="G319" s="93">
        <v>241.66</v>
      </c>
      <c r="H319" s="93">
        <v>211.12</v>
      </c>
      <c r="I319" s="93">
        <v>194.1</v>
      </c>
    </row>
    <row r="320" spans="1:9" ht="14.5" customHeight="1" x14ac:dyDescent="0.35">
      <c r="A320" s="11"/>
      <c r="B320" s="72" t="s">
        <v>278</v>
      </c>
      <c r="C320" s="72"/>
      <c r="D320" s="12"/>
      <c r="E320" s="93">
        <v>158.66999999999999</v>
      </c>
      <c r="F320" s="93">
        <v>47.15</v>
      </c>
      <c r="G320" s="93">
        <v>53.84</v>
      </c>
      <c r="H320" s="93">
        <v>49.89</v>
      </c>
      <c r="I320" s="93">
        <v>52.57</v>
      </c>
    </row>
    <row r="321" spans="1:9" ht="14.5" customHeight="1" x14ac:dyDescent="0.35">
      <c r="A321" s="11"/>
      <c r="B321" s="72" t="s">
        <v>279</v>
      </c>
      <c r="C321" s="72"/>
      <c r="D321" s="12"/>
      <c r="E321" s="93">
        <v>309.14999999999998</v>
      </c>
      <c r="F321" s="93">
        <v>125.43</v>
      </c>
      <c r="G321" s="93">
        <v>118.55</v>
      </c>
      <c r="H321" s="93">
        <v>149.77000000000001</v>
      </c>
      <c r="I321" s="93">
        <v>123.15</v>
      </c>
    </row>
    <row r="322" spans="1:9" ht="14.5" customHeight="1" x14ac:dyDescent="0.35">
      <c r="A322" s="11"/>
      <c r="B322" s="72" t="s">
        <v>280</v>
      </c>
      <c r="C322" s="72"/>
      <c r="D322" s="12"/>
      <c r="E322" s="87"/>
      <c r="F322" s="93">
        <v>121.29</v>
      </c>
      <c r="G322" s="93">
        <v>176.95</v>
      </c>
      <c r="H322" s="93">
        <v>111.24</v>
      </c>
      <c r="I322" s="93">
        <v>123.52</v>
      </c>
    </row>
    <row r="323" spans="1:9" ht="14.5" customHeight="1" x14ac:dyDescent="0.35">
      <c r="A323" s="11"/>
      <c r="B323" s="13"/>
      <c r="C323" s="13"/>
      <c r="D323" s="13"/>
      <c r="E323" s="7"/>
      <c r="F323" s="7"/>
      <c r="G323" s="7"/>
      <c r="H323" s="7"/>
      <c r="I323" s="7"/>
    </row>
    <row r="324" spans="1:9" ht="14.5" customHeight="1" x14ac:dyDescent="0.35">
      <c r="A324" s="8"/>
      <c r="B324" s="70" t="s">
        <v>281</v>
      </c>
      <c r="C324" s="70"/>
      <c r="D324" s="9"/>
      <c r="E324" s="10"/>
      <c r="F324" s="10"/>
      <c r="G324" s="10"/>
      <c r="H324" s="10"/>
      <c r="I324" s="10"/>
    </row>
    <row r="325" spans="1:9" ht="14.5" customHeight="1" x14ac:dyDescent="0.35">
      <c r="A325" s="11"/>
      <c r="B325" s="13"/>
      <c r="C325" s="13"/>
      <c r="D325" s="13"/>
      <c r="E325" s="7"/>
      <c r="F325" s="7"/>
      <c r="G325" s="7"/>
      <c r="H325" s="7"/>
      <c r="I325" s="7"/>
    </row>
    <row r="326" spans="1:9" ht="14.5" customHeight="1" x14ac:dyDescent="0.35">
      <c r="A326" s="11"/>
      <c r="B326" s="72" t="s">
        <v>282</v>
      </c>
      <c r="C326" s="72"/>
      <c r="D326" s="12"/>
      <c r="E326" s="86">
        <v>4704649</v>
      </c>
      <c r="F326" s="86">
        <v>5388756</v>
      </c>
      <c r="G326" s="86">
        <v>1524401</v>
      </c>
      <c r="H326" s="86">
        <v>743069</v>
      </c>
      <c r="I326" s="86">
        <v>2935787</v>
      </c>
    </row>
    <row r="327" spans="1:9" ht="14.5" customHeight="1" x14ac:dyDescent="0.35">
      <c r="A327" s="11"/>
      <c r="B327" s="72" t="s">
        <v>283</v>
      </c>
      <c r="C327" s="72"/>
      <c r="D327" s="12"/>
      <c r="E327" s="93">
        <v>17.86</v>
      </c>
      <c r="F327" s="93">
        <v>8.7899999999999991</v>
      </c>
      <c r="G327" s="93">
        <v>2.82</v>
      </c>
      <c r="H327" s="93">
        <v>1.22</v>
      </c>
      <c r="I327" s="93">
        <v>4.24</v>
      </c>
    </row>
    <row r="328" spans="1:9" ht="14.5" customHeight="1" x14ac:dyDescent="0.35">
      <c r="A328" s="11"/>
      <c r="B328" s="72" t="s">
        <v>284</v>
      </c>
      <c r="C328" s="72"/>
      <c r="D328" s="12"/>
      <c r="E328" s="93">
        <v>-0.97</v>
      </c>
      <c r="F328" s="93">
        <v>-6.66</v>
      </c>
      <c r="G328" s="93">
        <v>-9.73</v>
      </c>
      <c r="H328" s="93">
        <v>-15.97</v>
      </c>
      <c r="I328" s="93">
        <v>-10.78</v>
      </c>
    </row>
    <row r="329" spans="1:9" ht="14.5" customHeight="1" x14ac:dyDescent="0.35">
      <c r="A329" s="11"/>
      <c r="B329" s="72" t="s">
        <v>285</v>
      </c>
      <c r="C329" s="72"/>
      <c r="D329" s="12"/>
      <c r="E329" s="93">
        <v>-1.1299999999999999</v>
      </c>
      <c r="F329" s="93">
        <v>-7.81</v>
      </c>
      <c r="G329" s="93">
        <v>-11.23</v>
      </c>
      <c r="H329" s="93">
        <v>-19.829999999999998</v>
      </c>
      <c r="I329" s="93">
        <v>-13.15</v>
      </c>
    </row>
    <row r="330" spans="1:9" ht="14.5" customHeight="1" x14ac:dyDescent="0.35">
      <c r="A330" s="11"/>
      <c r="B330" s="72" t="s">
        <v>286</v>
      </c>
      <c r="C330" s="72"/>
      <c r="D330" s="12"/>
      <c r="E330" s="93">
        <v>-5.52</v>
      </c>
      <c r="F330" s="93">
        <v>-15.16</v>
      </c>
      <c r="G330" s="93">
        <v>-24.88</v>
      </c>
      <c r="H330" s="93">
        <v>-31.41</v>
      </c>
      <c r="I330" s="93">
        <v>-17.97</v>
      </c>
    </row>
    <row r="331" spans="1:9" ht="14.5" customHeight="1" x14ac:dyDescent="0.35">
      <c r="A331" s="11"/>
      <c r="B331" s="72" t="s">
        <v>287</v>
      </c>
      <c r="C331" s="72"/>
      <c r="D331" s="12"/>
      <c r="E331" s="93">
        <v>-2.38</v>
      </c>
      <c r="F331" s="93">
        <v>-13.59</v>
      </c>
      <c r="G331" s="93">
        <v>-19.68</v>
      </c>
      <c r="H331" s="93">
        <v>-45.51</v>
      </c>
      <c r="I331" s="93">
        <v>-42.1</v>
      </c>
    </row>
    <row r="332" spans="1:9" ht="14.5" customHeight="1" x14ac:dyDescent="0.35">
      <c r="A332" s="11"/>
      <c r="B332" s="72" t="s">
        <v>288</v>
      </c>
      <c r="C332" s="72"/>
      <c r="D332" s="12"/>
      <c r="E332" s="87"/>
      <c r="F332" s="87"/>
      <c r="G332" s="87"/>
      <c r="H332" s="87"/>
      <c r="I332" s="87"/>
    </row>
    <row r="333" spans="1:9" ht="14.5" customHeight="1" x14ac:dyDescent="0.35">
      <c r="A333" s="11"/>
      <c r="B333" s="13"/>
      <c r="C333" s="13"/>
      <c r="D333" s="13"/>
      <c r="E333" s="7"/>
      <c r="F333" s="7"/>
      <c r="G333" s="7"/>
      <c r="H333" s="7"/>
      <c r="I333" s="7"/>
    </row>
    <row r="334" spans="1:9" ht="14.5" customHeight="1" x14ac:dyDescent="0.35">
      <c r="A334" s="8"/>
      <c r="B334" s="70" t="s">
        <v>289</v>
      </c>
      <c r="C334" s="70"/>
      <c r="D334" s="9"/>
      <c r="E334" s="10"/>
      <c r="F334" s="10"/>
      <c r="G334" s="10"/>
      <c r="H334" s="10"/>
      <c r="I334" s="10"/>
    </row>
    <row r="335" spans="1:9" ht="14.5" customHeight="1" x14ac:dyDescent="0.35">
      <c r="A335" s="11"/>
      <c r="B335" s="13"/>
      <c r="C335" s="13"/>
      <c r="D335" s="13"/>
      <c r="E335" s="7"/>
      <c r="F335" s="7"/>
      <c r="G335" s="7"/>
      <c r="H335" s="7"/>
      <c r="I335" s="7"/>
    </row>
    <row r="336" spans="1:9" ht="14.5" customHeight="1" x14ac:dyDescent="0.35">
      <c r="A336" s="11"/>
      <c r="B336" s="72" t="s">
        <v>290</v>
      </c>
      <c r="C336" s="72"/>
      <c r="D336" s="12"/>
      <c r="E336" s="92">
        <v>310</v>
      </c>
      <c r="F336" s="92">
        <v>324</v>
      </c>
      <c r="G336" s="92">
        <v>325</v>
      </c>
      <c r="H336" s="92">
        <v>355</v>
      </c>
      <c r="I336" s="92">
        <v>340</v>
      </c>
    </row>
    <row r="337" spans="1:9" ht="14.5" customHeight="1" x14ac:dyDescent="0.35">
      <c r="A337" s="11"/>
      <c r="B337" s="72" t="s">
        <v>291</v>
      </c>
      <c r="C337" s="72"/>
      <c r="D337" s="12"/>
      <c r="E337" s="92">
        <v>84990</v>
      </c>
      <c r="F337" s="92">
        <v>189250</v>
      </c>
      <c r="G337" s="92">
        <v>166330</v>
      </c>
      <c r="H337" s="92">
        <v>172270</v>
      </c>
      <c r="I337" s="92">
        <v>203790</v>
      </c>
    </row>
    <row r="338" spans="1:9" ht="14.5" customHeight="1" x14ac:dyDescent="0.35">
      <c r="A338" s="11"/>
      <c r="B338" s="72" t="s">
        <v>292</v>
      </c>
      <c r="C338" s="72"/>
      <c r="D338" s="12"/>
      <c r="E338" s="92">
        <v>35700</v>
      </c>
      <c r="F338" s="92">
        <v>72440</v>
      </c>
      <c r="G338" s="92">
        <v>60780</v>
      </c>
      <c r="H338" s="92">
        <v>55360</v>
      </c>
      <c r="I338" s="92">
        <v>61740</v>
      </c>
    </row>
    <row r="339" spans="1:9" ht="14.5" customHeight="1" x14ac:dyDescent="0.35">
      <c r="A339" s="11"/>
      <c r="B339" s="72" t="s">
        <v>293</v>
      </c>
      <c r="C339" s="72"/>
      <c r="D339" s="12"/>
      <c r="E339" s="93">
        <v>20530</v>
      </c>
      <c r="F339" s="93">
        <v>55810</v>
      </c>
      <c r="G339" s="93">
        <v>55020</v>
      </c>
      <c r="H339" s="93">
        <v>52020</v>
      </c>
      <c r="I339" s="93">
        <v>53000</v>
      </c>
    </row>
    <row r="340" spans="1:9" ht="14.5" customHeight="1" x14ac:dyDescent="0.35">
      <c r="A340" s="11"/>
      <c r="B340" s="72" t="s">
        <v>294</v>
      </c>
      <c r="C340" s="72"/>
      <c r="D340" s="12"/>
      <c r="E340" s="93">
        <v>4.1399999999999997</v>
      </c>
      <c r="F340" s="93">
        <v>3.39</v>
      </c>
      <c r="G340" s="93">
        <v>3.02</v>
      </c>
      <c r="H340" s="93">
        <v>3.31</v>
      </c>
      <c r="I340" s="93">
        <v>3.85</v>
      </c>
    </row>
    <row r="341" spans="1:9" ht="14.5" customHeight="1" x14ac:dyDescent="0.35">
      <c r="A341" s="11"/>
      <c r="B341" s="13"/>
      <c r="C341" s="13"/>
      <c r="D341" s="13"/>
      <c r="E341" s="7"/>
      <c r="F341" s="7"/>
      <c r="G341" s="7"/>
      <c r="H341" s="7"/>
      <c r="I341" s="7"/>
    </row>
    <row r="342" spans="1:9" ht="14.5" customHeight="1" x14ac:dyDescent="0.35">
      <c r="A342" s="8"/>
      <c r="B342" s="70" t="s">
        <v>295</v>
      </c>
      <c r="C342" s="70"/>
      <c r="D342" s="9"/>
      <c r="E342" s="10"/>
      <c r="F342" s="10"/>
      <c r="G342" s="10"/>
      <c r="H342" s="10"/>
      <c r="I342" s="10"/>
    </row>
    <row r="343" spans="1:9" ht="14.5" customHeight="1" x14ac:dyDescent="0.35">
      <c r="A343" s="11"/>
      <c r="B343" s="13"/>
      <c r="C343" s="13"/>
      <c r="D343" s="13"/>
      <c r="E343" s="7"/>
      <c r="F343" s="7"/>
      <c r="G343" s="7"/>
      <c r="H343" s="7"/>
      <c r="I343" s="7"/>
    </row>
    <row r="344" spans="1:9" ht="14.5" customHeight="1" x14ac:dyDescent="0.35">
      <c r="A344" s="11"/>
      <c r="B344" s="72" t="s">
        <v>296</v>
      </c>
      <c r="C344" s="72"/>
      <c r="D344" s="12"/>
      <c r="E344" s="86">
        <v>-13833544</v>
      </c>
      <c r="F344" s="86">
        <v>1773383</v>
      </c>
      <c r="G344" s="86">
        <v>7005266</v>
      </c>
      <c r="H344" s="86">
        <v>-831980</v>
      </c>
      <c r="I344" s="86">
        <v>5260441</v>
      </c>
    </row>
    <row r="345" spans="1:9" ht="14.5" customHeight="1" x14ac:dyDescent="0.35">
      <c r="A345" s="11"/>
      <c r="B345" s="72" t="s">
        <v>297</v>
      </c>
      <c r="C345" s="72"/>
      <c r="D345" s="12"/>
      <c r="E345" s="86">
        <v>19781045</v>
      </c>
      <c r="F345" s="86">
        <v>43926525</v>
      </c>
      <c r="G345" s="86">
        <v>38979986</v>
      </c>
      <c r="H345" s="86">
        <v>39112441</v>
      </c>
      <c r="I345" s="86">
        <v>43061383</v>
      </c>
    </row>
    <row r="346" spans="1:9" ht="14.5" customHeight="1" x14ac:dyDescent="0.35">
      <c r="A346" s="11"/>
      <c r="B346" s="72" t="s">
        <v>298</v>
      </c>
      <c r="C346" s="72"/>
      <c r="D346" s="12"/>
      <c r="E346" s="86">
        <v>-24039543</v>
      </c>
      <c r="F346" s="86">
        <v>-10879350</v>
      </c>
      <c r="G346" s="86">
        <v>-9291923</v>
      </c>
      <c r="H346" s="86">
        <v>-19100775</v>
      </c>
      <c r="I346" s="86">
        <v>-13167447</v>
      </c>
    </row>
    <row r="347" spans="1:9" ht="14.5" customHeight="1" x14ac:dyDescent="0.35">
      <c r="A347" s="11"/>
      <c r="B347" s="72" t="s">
        <v>299</v>
      </c>
      <c r="C347" s="72"/>
      <c r="D347" s="12"/>
      <c r="E347" s="86">
        <v>-15527606</v>
      </c>
      <c r="F347" s="86">
        <v>-33584056</v>
      </c>
      <c r="G347" s="86">
        <v>-36209178</v>
      </c>
      <c r="H347" s="86">
        <v>-40760637</v>
      </c>
      <c r="I347" s="86">
        <v>-36938732</v>
      </c>
    </row>
    <row r="348" spans="1:9" ht="14.5" customHeight="1" x14ac:dyDescent="0.35">
      <c r="A348" s="11"/>
      <c r="B348" s="72" t="s">
        <v>300</v>
      </c>
      <c r="C348" s="72"/>
      <c r="D348" s="12"/>
      <c r="E348" s="93">
        <v>3570547</v>
      </c>
      <c r="F348" s="93">
        <v>4153153</v>
      </c>
      <c r="G348" s="93">
        <v>1316681</v>
      </c>
      <c r="H348" s="93">
        <v>-1754156</v>
      </c>
      <c r="I348" s="93">
        <v>-1259462</v>
      </c>
    </row>
    <row r="349" spans="1:9" ht="14.5" customHeight="1" x14ac:dyDescent="0.35">
      <c r="A349" s="11"/>
      <c r="B349" s="13"/>
      <c r="C349" s="13"/>
      <c r="D349" s="13"/>
      <c r="E349" s="13"/>
      <c r="F349" s="13"/>
      <c r="G349" s="13"/>
      <c r="H349" s="13"/>
      <c r="I349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Ownership</vt:lpstr>
      <vt:lpstr>Debt Plan 2022</vt:lpstr>
      <vt:lpstr>NetDebt</vt:lpstr>
      <vt:lpstr>Reclassified BS</vt:lpstr>
      <vt:lpstr>Profit&amp;Loss</vt:lpstr>
      <vt:lpstr>CashFlow</vt:lpstr>
      <vt:lpstr>Ratios</vt:lpstr>
      <vt:lpstr>AIDA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HAMZA AIT MOUSSA</cp:lastModifiedBy>
  <dcterms:modified xsi:type="dcterms:W3CDTF">2024-03-24T20:08:05Z</dcterms:modified>
</cp:coreProperties>
</file>